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owalewska\Desktop\sprawozdanie_Q1_FY2024\final\"/>
    </mc:Choice>
  </mc:AlternateContent>
  <xr:revisionPtr revIDLastSave="0" documentId="8_{4071CCF3-1D9E-460B-86A9-57F7E4F4703A}" xr6:coauthVersionLast="47" xr6:coauthVersionMax="47" xr10:uidLastSave="{00000000-0000-0000-0000-000000000000}"/>
  <bookViews>
    <workbookView xWindow="28680" yWindow="-120" windowWidth="29040" windowHeight="15720" tabRatio="609" xr2:uid="{00000000-000D-0000-FFFF-FFFF00000000}"/>
  </bookViews>
  <sheets>
    <sheet name="Bilans Skonsol" sheetId="1" r:id="rId1"/>
    <sheet name="Rachunek Skonsol" sheetId="2" r:id="rId2"/>
    <sheet name="P&amp;L Segm 09.2014" sheetId="8" state="hidden" r:id="rId3"/>
    <sheet name="P&amp;L Segm" sheetId="9" state="hidden" r:id="rId4"/>
    <sheet name="P&amp;L Segm 2011-2013" sheetId="7" state="hidden" r:id="rId5"/>
    <sheet name="C-F Skonsol" sheetId="3" r:id="rId6"/>
    <sheet name="Segmenty" sheetId="10" r:id="rId7"/>
    <sheet name="Bilans Jednostkowy" sheetId="12" r:id="rId8"/>
    <sheet name="Rachunek jednostkowy" sheetId="4" r:id="rId9"/>
    <sheet name="C-F Jednostkowy" sheetId="13" r:id="rId10"/>
  </sheets>
  <definedNames>
    <definedName name="AS2DocOpenMode" hidden="1">"AS2DocumentEdit"</definedName>
    <definedName name="_xlnm.Database" localSheetId="7">#REF!</definedName>
    <definedName name="_xlnm.Database" localSheetId="0">#REF!</definedName>
    <definedName name="_xlnm.Database" localSheetId="9">#REF!</definedName>
    <definedName name="_xlnm.Database" localSheetId="3">#REF!</definedName>
    <definedName name="_xlnm.Database" localSheetId="1">#REF!</definedName>
    <definedName name="_xlnm.Database" localSheetId="6">#REF!</definedName>
    <definedName name="_xlnm.Database">#REF!</definedName>
    <definedName name="Biez_Kw_Poprzedz">#REF!</definedName>
    <definedName name="bil_biez" localSheetId="7">#REF!</definedName>
    <definedName name="bil_biez" localSheetId="9">#REF!</definedName>
    <definedName name="bil_biez" localSheetId="3">#REF!</definedName>
    <definedName name="bil_biez" localSheetId="2">#REF!</definedName>
    <definedName name="bil_biez" localSheetId="4">#REF!</definedName>
    <definedName name="bil_biez" localSheetId="6">#REF!</definedName>
    <definedName name="bil_biez">#REF!</definedName>
    <definedName name="bil_biez1" localSheetId="3">#REF!</definedName>
    <definedName name="bil_biez1" localSheetId="4">#REF!</definedName>
    <definedName name="bil_biez1">#REF!</definedName>
    <definedName name="bil_BO" localSheetId="3">#REF!</definedName>
    <definedName name="bil_BO" localSheetId="2">#REF!</definedName>
    <definedName name="bil_BO" localSheetId="4">#REF!</definedName>
    <definedName name="bil_BO" localSheetId="6">#REF!</definedName>
    <definedName name="bil_BO">#REF!</definedName>
    <definedName name="bil_pop" localSheetId="7">#REF!</definedName>
    <definedName name="bil_pop" localSheetId="9">#REF!</definedName>
    <definedName name="bil_pop" localSheetId="3">#REF!</definedName>
    <definedName name="bil_pop" localSheetId="2">#REF!</definedName>
    <definedName name="bil_pop" localSheetId="4">#REF!</definedName>
    <definedName name="bil_pop" localSheetId="6">#REF!</definedName>
    <definedName name="bil_pop">#REF!</definedName>
    <definedName name="ffgaa" localSheetId="7">#REF!</definedName>
    <definedName name="ffgaa" localSheetId="9">#REF!</definedName>
    <definedName name="ffgaa" localSheetId="3">#REF!</definedName>
    <definedName name="ffgaa" localSheetId="6">#REF!</definedName>
    <definedName name="ffgaa">#REF!</definedName>
    <definedName name="_xlnm.Print_Area" localSheetId="7">'Bilans Jednostkowy'!$B$1:$CY$89</definedName>
    <definedName name="_xlnm.Print_Area" localSheetId="0">'Bilans Skonsol'!$B$1:$CY$90</definedName>
    <definedName name="_xlnm.Print_Area" localSheetId="1">'Rachunek Skonsol'!$B$1:$CU$45</definedName>
    <definedName name="Ok_biez_kw" localSheetId="3">#REF!</definedName>
    <definedName name="Ok_biez_kw" localSheetId="2">#REF!</definedName>
    <definedName name="Ok_biez_kw" localSheetId="6">#REF!</definedName>
    <definedName name="Ok_biez_kw">#REF!</definedName>
    <definedName name="Ok_poprz_kw" localSheetId="3">#REF!</definedName>
    <definedName name="Ok_poprz_kw" localSheetId="2">#REF!</definedName>
    <definedName name="Ok_poprz_kw" localSheetId="6">#REF!</definedName>
    <definedName name="Ok_poprz_kw">#REF!</definedName>
    <definedName name="Ok_roczny" localSheetId="3">#REF!</definedName>
    <definedName name="Ok_roczny" localSheetId="2">#REF!</definedName>
    <definedName name="Ok_roczny" localSheetId="6">#REF!</definedName>
    <definedName name="Ok_roczny">#REF!</definedName>
    <definedName name="rac_biez1" localSheetId="7">#REF!</definedName>
    <definedName name="rac_biez1" localSheetId="9">#REF!</definedName>
    <definedName name="rac_biez1" localSheetId="3">#REF!</definedName>
    <definedName name="rac_biez1" localSheetId="4">#REF!</definedName>
    <definedName name="rac_biez1">#REF!</definedName>
    <definedName name="rach_biez" localSheetId="7">#REF!</definedName>
    <definedName name="rach_biez" localSheetId="9">#REF!</definedName>
    <definedName name="rach_biez" localSheetId="3">#REF!</definedName>
    <definedName name="rach_biez" localSheetId="2">#REF!</definedName>
    <definedName name="rach_biez" localSheetId="4">#REF!</definedName>
    <definedName name="rach_biez" localSheetId="6">#REF!</definedName>
    <definedName name="rach_biez">#REF!</definedName>
    <definedName name="rach_biez2" localSheetId="7">#REF!</definedName>
    <definedName name="rach_biez2" localSheetId="9">#REF!</definedName>
    <definedName name="rach_biez2" localSheetId="3">#REF!</definedName>
    <definedName name="rach_biez2" localSheetId="4">#REF!</definedName>
    <definedName name="rach_biez2">#REF!</definedName>
    <definedName name="rach_biez3" localSheetId="7">#REF!</definedName>
    <definedName name="rach_biez3" localSheetId="9">#REF!</definedName>
    <definedName name="rach_biez3" localSheetId="3">#REF!</definedName>
    <definedName name="rach_biez3" localSheetId="4">#REF!</definedName>
    <definedName name="rach_biez3">#REF!</definedName>
    <definedName name="rach_pop" localSheetId="7">#REF!</definedName>
    <definedName name="rach_pop" localSheetId="9">#REF!</definedName>
    <definedName name="rach_pop" localSheetId="3">#REF!</definedName>
    <definedName name="rach_pop" localSheetId="2">#REF!</definedName>
    <definedName name="rach_pop" localSheetId="4">#REF!</definedName>
    <definedName name="rach_pop" localSheetId="6">#REF!</definedName>
    <definedName name="rach_pop">#REF!</definedName>
    <definedName name="TextRefCopy1" localSheetId="7">#REF!</definedName>
    <definedName name="TextRefCopy1" localSheetId="0">#REF!</definedName>
    <definedName name="TextRefCopy1" localSheetId="9">#REF!</definedName>
    <definedName name="TextRefCopy1" localSheetId="3">#REF!</definedName>
    <definedName name="TextRefCopy1" localSheetId="1">#REF!</definedName>
    <definedName name="TextRefCopy1" localSheetId="6">#REF!</definedName>
    <definedName name="TextRefCopy1">#REF!</definedName>
    <definedName name="TextRefCopyRangeCount" localSheetId="3" hidden="1">1</definedName>
    <definedName name="TextRefCopyRangeCount" localSheetId="2" hidden="1">1</definedName>
    <definedName name="TextRefCopyRangeCount" localSheetId="4" hidden="1">1</definedName>
    <definedName name="TextRefCopyRangeCount" localSheetId="6" hidden="1">1</definedName>
    <definedName name="TextRefCopyRangeCount" hidden="1">15</definedName>
    <definedName name="Wal" localSheetId="3">#REF!</definedName>
    <definedName name="Wal" localSheetId="2">#REF!</definedName>
    <definedName name="Wal" localSheetId="4">#REF!</definedName>
    <definedName name="Wal" localSheetId="6">#REF!</definedName>
    <definedName name="Wal">#REF!</definedName>
    <definedName name="XREF_COLUMN_2" localSheetId="7" hidden="1">#REF!</definedName>
    <definedName name="XREF_COLUMN_2" localSheetId="0" hidden="1">#REF!</definedName>
    <definedName name="XREF_COLUMN_2" localSheetId="9" hidden="1">#REF!</definedName>
    <definedName name="XREF_COLUMN_2" localSheetId="3" hidden="1">#REF!</definedName>
    <definedName name="XREF_COLUMN_2" localSheetId="1" hidden="1">#REF!</definedName>
    <definedName name="XREF_COLUMN_2" localSheetId="6" hidden="1">#REF!</definedName>
    <definedName name="XREF_COLUMN_2" hidden="1">#REF!</definedName>
    <definedName name="XREF_COLUMN_3" localSheetId="7" hidden="1">#REF!</definedName>
    <definedName name="XREF_COLUMN_3" localSheetId="0" hidden="1">#REF!</definedName>
    <definedName name="XREF_COLUMN_3" localSheetId="9" hidden="1">#REF!</definedName>
    <definedName name="XREF_COLUMN_3" localSheetId="3" hidden="1">#REF!</definedName>
    <definedName name="XREF_COLUMN_3" localSheetId="1" hidden="1">#REF!</definedName>
    <definedName name="XREF_COLUMN_3" localSheetId="6" hidden="1">#REF!</definedName>
    <definedName name="XREF_COLUMN_3" hidden="1">#REF!</definedName>
    <definedName name="XREF_COLUMN_4" localSheetId="7" hidden="1">#REF!</definedName>
    <definedName name="XREF_COLUMN_4" localSheetId="0" hidden="1">#REF!</definedName>
    <definedName name="XREF_COLUMN_4" localSheetId="9" hidden="1">#REF!</definedName>
    <definedName name="XREF_COLUMN_4" localSheetId="3" hidden="1">#REF!</definedName>
    <definedName name="XREF_COLUMN_4" localSheetId="1" hidden="1">#REF!</definedName>
    <definedName name="XREF_COLUMN_4" localSheetId="6" hidden="1">#REF!</definedName>
    <definedName name="XREF_COLUMN_4" hidden="1">#REF!</definedName>
    <definedName name="XREF_COLUMN_5" localSheetId="7" hidden="1">#REF!</definedName>
    <definedName name="XREF_COLUMN_5" localSheetId="0" hidden="1">#REF!</definedName>
    <definedName name="XREF_COLUMN_5" localSheetId="9" hidden="1">#REF!</definedName>
    <definedName name="XREF_COLUMN_5" localSheetId="1" hidden="1">#REF!</definedName>
    <definedName name="XREF_COLUMN_5" localSheetId="6" hidden="1">#REF!</definedName>
    <definedName name="XREF_COLUMN_5" hidden="1">#REF!</definedName>
    <definedName name="XRefColumnsCount" hidden="1">8</definedName>
    <definedName name="XRefCopy2" localSheetId="7" hidden="1">#REF!</definedName>
    <definedName name="XRefCopy2" localSheetId="0" hidden="1">#REF!</definedName>
    <definedName name="XRefCopy2" localSheetId="9" hidden="1">#REF!</definedName>
    <definedName name="XRefCopy2" localSheetId="3" hidden="1">#REF!</definedName>
    <definedName name="XRefCopy2" localSheetId="1" hidden="1">#REF!</definedName>
    <definedName name="XRefCopy2" localSheetId="6" hidden="1">#REF!</definedName>
    <definedName name="XRefCopy2" hidden="1">#REF!</definedName>
    <definedName name="XRefCopyRangeCount" hidden="1">6</definedName>
    <definedName name="XRefPaste1" localSheetId="7" hidden="1">#REF!</definedName>
    <definedName name="XRefPaste1" localSheetId="0" hidden="1">#REF!</definedName>
    <definedName name="XRefPaste1" localSheetId="9" hidden="1">#REF!</definedName>
    <definedName name="XRefPaste1" localSheetId="3" hidden="1">#REF!</definedName>
    <definedName name="XRefPaste1" localSheetId="1" hidden="1">#REF!</definedName>
    <definedName name="XRefPaste1" localSheetId="6" hidden="1">#REF!</definedName>
    <definedName name="XRefPaste1" hidden="1">#REF!</definedName>
    <definedName name="XRefPaste3" localSheetId="7" hidden="1">#REF!</definedName>
    <definedName name="XRefPaste3" localSheetId="0" hidden="1">#REF!</definedName>
    <definedName name="XRefPaste3" localSheetId="9" hidden="1">#REF!</definedName>
    <definedName name="XRefPaste3" localSheetId="3" hidden="1">#REF!</definedName>
    <definedName name="XRefPaste3" localSheetId="1" hidden="1">#REF!</definedName>
    <definedName name="XRefPaste3" localSheetId="6" hidden="1">#REF!</definedName>
    <definedName name="XRefPaste3" hidden="1">#REF!</definedName>
    <definedName name="XRefPaste4" localSheetId="7" hidden="1">#REF!</definedName>
    <definedName name="XRefPaste4" localSheetId="0" hidden="1">#REF!</definedName>
    <definedName name="XRefPaste4" localSheetId="9" hidden="1">#REF!</definedName>
    <definedName name="XRefPaste4" localSheetId="3" hidden="1">#REF!</definedName>
    <definedName name="XRefPaste4" localSheetId="1" hidden="1">#REF!</definedName>
    <definedName name="XRefPaste4" localSheetId="6" hidden="1">#REF!</definedName>
    <definedName name="XRefPaste4" hidden="1">#REF!</definedName>
    <definedName name="XRefPasteRangeCount" hidden="1">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1" i="13" l="1"/>
  <c r="I28" i="13" l="1"/>
  <c r="I39" i="13"/>
  <c r="I44" i="13" s="1"/>
  <c r="I6" i="13"/>
  <c r="AR43" i="10" l="1"/>
  <c r="AV39" i="10"/>
  <c r="AX37" i="10"/>
  <c r="AX34" i="10"/>
  <c r="AX33" i="10"/>
  <c r="AV34" i="10"/>
  <c r="AR34" i="10"/>
  <c r="DJ71" i="2"/>
  <c r="DJ70" i="2"/>
  <c r="DJ67" i="2"/>
  <c r="DJ66" i="2"/>
  <c r="J47" i="2"/>
  <c r="J57" i="2" s="1"/>
  <c r="DJ26" i="2"/>
  <c r="DJ25" i="2"/>
  <c r="DJ24" i="2"/>
  <c r="DJ18" i="2"/>
  <c r="J72" i="2"/>
  <c r="DJ13" i="2"/>
  <c r="DJ12" i="2"/>
  <c r="DJ11" i="2"/>
  <c r="DJ5" i="2"/>
  <c r="DJ4" i="2"/>
  <c r="DI56" i="4"/>
  <c r="I43" i="4"/>
  <c r="DI25" i="4"/>
  <c r="DI19" i="4"/>
  <c r="DI18" i="4"/>
  <c r="DI14" i="4"/>
  <c r="DI13" i="4"/>
  <c r="DI11" i="4"/>
  <c r="DI5" i="4"/>
  <c r="DI4" i="4"/>
  <c r="J85" i="12"/>
  <c r="DI60" i="13"/>
  <c r="DI59" i="13"/>
  <c r="DI58" i="13"/>
  <c r="DI57" i="13"/>
  <c r="DI56" i="13"/>
  <c r="DI55" i="13"/>
  <c r="DI54" i="13"/>
  <c r="DI52" i="13"/>
  <c r="DI51" i="13"/>
  <c r="DI50" i="13"/>
  <c r="DI49" i="13"/>
  <c r="DI48" i="13"/>
  <c r="DI43" i="13"/>
  <c r="DI42" i="13"/>
  <c r="DI41" i="13"/>
  <c r="DI40" i="13"/>
  <c r="DI39" i="13"/>
  <c r="DI38" i="13"/>
  <c r="DI37" i="13"/>
  <c r="DI35" i="13"/>
  <c r="DI34" i="13"/>
  <c r="DI33" i="13"/>
  <c r="DI32" i="13"/>
  <c r="DI31" i="13"/>
  <c r="DI30" i="13"/>
  <c r="DI29" i="13"/>
  <c r="DI28" i="13"/>
  <c r="DI27" i="13"/>
  <c r="DI26" i="13"/>
  <c r="DI21" i="13"/>
  <c r="DI20" i="13"/>
  <c r="DI19" i="13"/>
  <c r="DI18" i="13"/>
  <c r="DI17" i="13"/>
  <c r="DI16" i="13"/>
  <c r="DI15" i="13"/>
  <c r="DI14" i="13"/>
  <c r="DI13" i="13"/>
  <c r="DI12" i="13"/>
  <c r="DI11" i="13"/>
  <c r="DI10" i="13"/>
  <c r="DI9" i="13"/>
  <c r="DI8" i="13"/>
  <c r="DI7" i="13"/>
  <c r="DI1" i="13"/>
  <c r="DG1" i="13"/>
  <c r="DE1" i="13"/>
  <c r="DC1" i="13"/>
  <c r="DI43" i="4"/>
  <c r="DI21" i="4"/>
  <c r="DI20" i="4"/>
  <c r="DI12" i="4"/>
  <c r="DI10" i="4"/>
  <c r="DI9" i="4"/>
  <c r="DI1" i="4"/>
  <c r="DG1" i="4"/>
  <c r="DE1" i="4"/>
  <c r="DC1" i="4"/>
  <c r="L21" i="12"/>
  <c r="N21" i="12"/>
  <c r="P21" i="12"/>
  <c r="L39" i="12"/>
  <c r="N39" i="12"/>
  <c r="P39" i="12"/>
  <c r="P41" i="12" s="1"/>
  <c r="R39" i="12"/>
  <c r="L51" i="12"/>
  <c r="L55" i="12" s="1"/>
  <c r="N51" i="12"/>
  <c r="N55" i="12" s="1"/>
  <c r="P51" i="12"/>
  <c r="P55" i="12" s="1"/>
  <c r="L69" i="12"/>
  <c r="L87" i="12" s="1"/>
  <c r="N69" i="12"/>
  <c r="P69" i="12"/>
  <c r="R85" i="12"/>
  <c r="L85" i="12"/>
  <c r="N85" i="12"/>
  <c r="P85" i="12"/>
  <c r="P87" i="12" s="1"/>
  <c r="AV41" i="10"/>
  <c r="AR28" i="10"/>
  <c r="AD28" i="10"/>
  <c r="P28" i="10"/>
  <c r="B28" i="10"/>
  <c r="AV46" i="10"/>
  <c r="AT43" i="10"/>
  <c r="BB16" i="10"/>
  <c r="AT42" i="10"/>
  <c r="AR42" i="10"/>
  <c r="AX41" i="10"/>
  <c r="AT41" i="10"/>
  <c r="AT40" i="10"/>
  <c r="AR40" i="10"/>
  <c r="AX38" i="10"/>
  <c r="AV38" i="10"/>
  <c r="AV37" i="10"/>
  <c r="AT34" i="10"/>
  <c r="AV33" i="10"/>
  <c r="AT33" i="10"/>
  <c r="AZ32" i="10"/>
  <c r="DI61" i="3"/>
  <c r="DI60" i="3"/>
  <c r="DI59" i="3"/>
  <c r="DI58" i="3"/>
  <c r="DI56" i="3"/>
  <c r="DI55" i="3"/>
  <c r="DI53" i="3"/>
  <c r="DI52" i="3"/>
  <c r="DI51" i="3"/>
  <c r="DI49" i="3"/>
  <c r="DI44" i="3"/>
  <c r="DI42" i="3"/>
  <c r="DI39" i="3"/>
  <c r="DI36" i="3"/>
  <c r="DI35" i="3"/>
  <c r="DI34" i="3"/>
  <c r="DI33" i="3"/>
  <c r="DI32" i="3"/>
  <c r="DI31" i="3"/>
  <c r="DI30" i="3"/>
  <c r="DI28" i="3"/>
  <c r="DI27" i="3"/>
  <c r="DI21" i="3"/>
  <c r="DI20" i="3"/>
  <c r="DI12" i="3"/>
  <c r="DI11" i="3"/>
  <c r="DI10" i="3"/>
  <c r="DI7" i="3"/>
  <c r="DI1" i="3"/>
  <c r="DG1" i="3"/>
  <c r="DE1" i="3"/>
  <c r="DC1" i="3"/>
  <c r="DJ69" i="2"/>
  <c r="DJ68" i="2"/>
  <c r="DJ54" i="2"/>
  <c r="DJ53" i="2"/>
  <c r="DJ52" i="2"/>
  <c r="DJ51" i="2"/>
  <c r="DJ50" i="2"/>
  <c r="DJ49" i="2"/>
  <c r="DJ46" i="2"/>
  <c r="DJ45" i="2"/>
  <c r="DJ44" i="2"/>
  <c r="DJ43" i="2"/>
  <c r="DJ42" i="2"/>
  <c r="DJ41" i="2"/>
  <c r="DJ36" i="2"/>
  <c r="DJ27" i="2"/>
  <c r="DJ17" i="2"/>
  <c r="DJ16" i="2"/>
  <c r="DJ15" i="2"/>
  <c r="DJ14" i="2"/>
  <c r="DJ9" i="2"/>
  <c r="DJ1" i="2"/>
  <c r="DH1" i="2"/>
  <c r="DF1" i="2"/>
  <c r="DD1" i="2"/>
  <c r="DL1" i="2"/>
  <c r="DN1" i="2"/>
  <c r="DP1" i="2"/>
  <c r="DR1" i="2"/>
  <c r="DL36" i="2"/>
  <c r="DN36" i="2"/>
  <c r="DP36" i="2"/>
  <c r="DR36" i="2"/>
  <c r="DN41" i="2"/>
  <c r="DN47" i="2" s="1"/>
  <c r="DP41" i="2"/>
  <c r="DP47" i="2" s="1"/>
  <c r="DP57" i="2" s="1"/>
  <c r="DR41" i="2"/>
  <c r="DL42" i="2"/>
  <c r="DN42" i="2"/>
  <c r="DP42" i="2"/>
  <c r="DR42" i="2"/>
  <c r="DL43" i="2"/>
  <c r="DN43" i="2"/>
  <c r="DP43" i="2"/>
  <c r="DR43" i="2"/>
  <c r="DL44" i="2"/>
  <c r="DN44" i="2"/>
  <c r="DP44" i="2"/>
  <c r="DR44" i="2"/>
  <c r="DL45" i="2"/>
  <c r="DN45" i="2"/>
  <c r="DP45" i="2"/>
  <c r="DR45" i="2"/>
  <c r="DN46" i="2"/>
  <c r="DP46" i="2"/>
  <c r="DR46" i="2"/>
  <c r="DL49" i="2"/>
  <c r="DN49" i="2"/>
  <c r="DP49" i="2"/>
  <c r="DR49" i="2"/>
  <c r="DL50" i="2"/>
  <c r="DN50" i="2"/>
  <c r="DP50" i="2"/>
  <c r="DR50" i="2"/>
  <c r="DL51" i="2"/>
  <c r="DN51" i="2"/>
  <c r="DP51" i="2"/>
  <c r="DR51" i="2"/>
  <c r="DL52" i="2"/>
  <c r="DN52" i="2"/>
  <c r="DN55" i="2" s="1"/>
  <c r="DP52" i="2"/>
  <c r="DR52" i="2"/>
  <c r="DL53" i="2"/>
  <c r="DN53" i="2"/>
  <c r="DP53" i="2"/>
  <c r="DR53" i="2"/>
  <c r="DL54" i="2"/>
  <c r="DN54" i="2"/>
  <c r="DP54" i="2"/>
  <c r="DR54" i="2"/>
  <c r="DL55" i="2"/>
  <c r="DP55" i="2"/>
  <c r="DN71" i="2"/>
  <c r="DP71" i="2"/>
  <c r="DR71" i="2"/>
  <c r="DK40" i="4"/>
  <c r="DK38" i="4"/>
  <c r="DK37" i="4"/>
  <c r="DK36" i="4"/>
  <c r="DK35" i="4"/>
  <c r="DK41" i="4"/>
  <c r="DK39" i="4"/>
  <c r="DN57" i="2" l="1"/>
  <c r="DR47" i="2"/>
  <c r="DJ47" i="2"/>
  <c r="DR55" i="2"/>
  <c r="N87" i="12"/>
  <c r="AR41" i="10"/>
  <c r="J51" i="12"/>
  <c r="J55" i="12" s="1"/>
  <c r="J52" i="1"/>
  <c r="J56" i="1" s="1"/>
  <c r="R69" i="12"/>
  <c r="R87" i="12" s="1"/>
  <c r="R89" i="12" s="1"/>
  <c r="J70" i="1"/>
  <c r="J21" i="12"/>
  <c r="J21" i="1"/>
  <c r="AV5" i="10"/>
  <c r="AV10" i="10"/>
  <c r="J69" i="12"/>
  <c r="AX5" i="10"/>
  <c r="DI61" i="13"/>
  <c r="DI44" i="13"/>
  <c r="DI6" i="13"/>
  <c r="I7" i="4"/>
  <c r="I16" i="4" s="1"/>
  <c r="J7" i="2"/>
  <c r="J73" i="2" s="1"/>
  <c r="J87" i="12"/>
  <c r="J89" i="12" s="1"/>
  <c r="J20" i="2"/>
  <c r="R21" i="12"/>
  <c r="R41" i="12" s="1"/>
  <c r="R51" i="12"/>
  <c r="R55" i="12" s="1"/>
  <c r="AV43" i="10"/>
  <c r="AV40" i="10"/>
  <c r="AZ33" i="10"/>
  <c r="AX32" i="10"/>
  <c r="AX31" i="10" s="1"/>
  <c r="DJ72" i="2"/>
  <c r="DJ55" i="2"/>
  <c r="DJ57" i="2" s="1"/>
  <c r="DJ31" i="2"/>
  <c r="DJ10" i="2"/>
  <c r="DJ20" i="2" s="1"/>
  <c r="DJ7" i="2"/>
  <c r="J86" i="1"/>
  <c r="J39" i="1"/>
  <c r="DI7" i="4"/>
  <c r="DI16" i="4" s="1"/>
  <c r="DI57" i="4" s="1"/>
  <c r="N41" i="12"/>
  <c r="L41" i="12"/>
  <c r="J39" i="12"/>
  <c r="P89" i="12"/>
  <c r="P91" i="12" s="1"/>
  <c r="N89" i="12"/>
  <c r="L89" i="12"/>
  <c r="AV32" i="10"/>
  <c r="AV31" i="10" s="1"/>
  <c r="AV42" i="10"/>
  <c r="AX42" i="10"/>
  <c r="AZ42" i="10"/>
  <c r="DR57" i="2"/>
  <c r="DL46" i="2"/>
  <c r="DL41" i="2"/>
  <c r="J41" i="12" l="1"/>
  <c r="J88" i="1"/>
  <c r="J90" i="1" s="1"/>
  <c r="J22" i="2"/>
  <c r="J29" i="2" s="1"/>
  <c r="I5" i="3" s="1"/>
  <c r="DI5" i="3" s="1"/>
  <c r="J75" i="2"/>
  <c r="J41" i="1"/>
  <c r="J92" i="1" s="1"/>
  <c r="DL47" i="2"/>
  <c r="DL57" i="2" s="1"/>
  <c r="AV19" i="10"/>
  <c r="AV22" i="10" s="1"/>
  <c r="J91" i="12"/>
  <c r="R91" i="12"/>
  <c r="I23" i="4"/>
  <c r="I5" i="13" s="1"/>
  <c r="I57" i="4"/>
  <c r="AV36" i="10"/>
  <c r="AV45" i="10" s="1"/>
  <c r="AV48" i="10" s="1"/>
  <c r="DJ73" i="2"/>
  <c r="DJ22" i="2"/>
  <c r="DJ29" i="2" s="1"/>
  <c r="DJ33" i="2" s="1"/>
  <c r="DJ38" i="2" s="1"/>
  <c r="DJ59" i="2" s="1"/>
  <c r="DI23" i="4"/>
  <c r="DI27" i="4" s="1"/>
  <c r="DI32" i="4" s="1"/>
  <c r="DI45" i="4" s="1"/>
  <c r="N91" i="12"/>
  <c r="L91" i="12"/>
  <c r="BB42" i="10"/>
  <c r="J33" i="2" l="1"/>
  <c r="J38" i="2" s="1"/>
  <c r="I22" i="13"/>
  <c r="I63" i="13" s="1"/>
  <c r="DI5" i="13"/>
  <c r="DI22" i="13" s="1"/>
  <c r="DI63" i="13" s="1"/>
  <c r="I27" i="4"/>
  <c r="I32" i="4" s="1"/>
  <c r="DJ75" i="2"/>
  <c r="K7" i="4"/>
  <c r="DL71" i="2"/>
  <c r="DL70" i="2"/>
  <c r="DL69" i="2"/>
  <c r="DL26" i="2"/>
  <c r="DL25" i="2"/>
  <c r="DL24" i="2"/>
  <c r="DL13" i="2"/>
  <c r="DL12" i="2"/>
  <c r="DK40" i="3"/>
  <c r="DK29" i="3"/>
  <c r="DK21" i="3"/>
  <c r="DK13" i="3"/>
  <c r="L72" i="2"/>
  <c r="L47" i="2"/>
  <c r="L57" i="2" s="1"/>
  <c r="K39" i="13"/>
  <c r="DK43" i="4"/>
  <c r="DK21" i="4"/>
  <c r="DK4" i="4"/>
  <c r="K43" i="4"/>
  <c r="DK60" i="13"/>
  <c r="DK58" i="13"/>
  <c r="DK57" i="13"/>
  <c r="DK56" i="13"/>
  <c r="DK55" i="13"/>
  <c r="DM30" i="13"/>
  <c r="DK30" i="13"/>
  <c r="DK31" i="13"/>
  <c r="DK32" i="13"/>
  <c r="DM33" i="13"/>
  <c r="DK34" i="13"/>
  <c r="DK35" i="13"/>
  <c r="DK29" i="13"/>
  <c r="CB42" i="10"/>
  <c r="BZ42" i="10"/>
  <c r="BZ38" i="10"/>
  <c r="BX42" i="10"/>
  <c r="BX37" i="10"/>
  <c r="BV42" i="10"/>
  <c r="BT42" i="10"/>
  <c r="CB33" i="10"/>
  <c r="BV34" i="10"/>
  <c r="BJ46" i="10"/>
  <c r="CB43" i="10"/>
  <c r="BX43" i="10"/>
  <c r="BV43" i="10"/>
  <c r="BZ37" i="10"/>
  <c r="CB41" i="10"/>
  <c r="BX41" i="10"/>
  <c r="BX40" i="10"/>
  <c r="BX39" i="10"/>
  <c r="BX38" i="10"/>
  <c r="BV41" i="10"/>
  <c r="BV40" i="10"/>
  <c r="BT41" i="10"/>
  <c r="BT40" i="10"/>
  <c r="BN33" i="10"/>
  <c r="CB32" i="10"/>
  <c r="BZ34" i="10"/>
  <c r="BZ33" i="10"/>
  <c r="BZ32" i="10"/>
  <c r="BX34" i="10"/>
  <c r="BJ33" i="10"/>
  <c r="BJ32" i="10"/>
  <c r="BH34" i="10"/>
  <c r="BV33" i="10"/>
  <c r="BT34" i="10"/>
  <c r="DM40" i="3"/>
  <c r="DM29" i="3"/>
  <c r="DM21" i="3"/>
  <c r="DM55" i="3"/>
  <c r="DK49" i="3"/>
  <c r="DK39" i="3"/>
  <c r="DK38" i="3"/>
  <c r="DK35" i="3"/>
  <c r="DK34" i="3"/>
  <c r="DK33" i="3"/>
  <c r="DM28" i="3"/>
  <c r="DK20" i="3"/>
  <c r="DM13" i="3"/>
  <c r="DK7" i="3"/>
  <c r="N47" i="2"/>
  <c r="N57" i="2" s="1"/>
  <c r="DN27" i="2"/>
  <c r="DK56" i="4"/>
  <c r="DM43" i="4"/>
  <c r="M43" i="4"/>
  <c r="DK25" i="4"/>
  <c r="DK18" i="4"/>
  <c r="DK12" i="4"/>
  <c r="DK11" i="4"/>
  <c r="DK10" i="4"/>
  <c r="DM32" i="13"/>
  <c r="DM12" i="13"/>
  <c r="DM10" i="13"/>
  <c r="BT43" i="10"/>
  <c r="BZ41" i="10"/>
  <c r="DO40" i="3"/>
  <c r="DO29" i="3"/>
  <c r="P47" i="2"/>
  <c r="P57" i="2" s="1"/>
  <c r="DM60" i="13"/>
  <c r="DM58" i="13"/>
  <c r="DM57" i="13"/>
  <c r="J59" i="2" l="1"/>
  <c r="I45" i="4"/>
  <c r="DM38" i="13"/>
  <c r="DM11" i="13"/>
  <c r="DM43" i="13"/>
  <c r="DM54" i="13"/>
  <c r="DM20" i="13"/>
  <c r="DM52" i="13"/>
  <c r="DM27" i="13"/>
  <c r="DM55" i="13"/>
  <c r="DM50" i="13"/>
  <c r="DM7" i="13"/>
  <c r="DM8" i="13"/>
  <c r="DM31" i="13"/>
  <c r="DM59" i="13"/>
  <c r="DM9" i="13"/>
  <c r="DK14" i="4"/>
  <c r="DK19" i="4"/>
  <c r="DK20" i="4"/>
  <c r="DK9" i="4"/>
  <c r="DK13" i="4"/>
  <c r="BX32" i="10"/>
  <c r="BJ34" i="10"/>
  <c r="BX33" i="10"/>
  <c r="BL32" i="10"/>
  <c r="BL33" i="10"/>
  <c r="BZ10" i="10"/>
  <c r="BF34" i="10"/>
  <c r="BL34" i="10"/>
  <c r="BH33" i="10"/>
  <c r="BN32" i="10"/>
  <c r="BX46" i="10"/>
  <c r="DM10" i="3"/>
  <c r="DM30" i="3"/>
  <c r="DM53" i="3"/>
  <c r="DM33" i="3"/>
  <c r="DM36" i="3"/>
  <c r="DM51" i="3"/>
  <c r="DK53" i="3"/>
  <c r="DM11" i="3"/>
  <c r="DM31" i="3"/>
  <c r="DM41" i="3"/>
  <c r="DK28" i="3"/>
  <c r="DK36" i="3"/>
  <c r="DK55" i="3"/>
  <c r="DM12" i="3"/>
  <c r="DM32" i="3"/>
  <c r="DM58" i="3"/>
  <c r="DK58" i="3"/>
  <c r="DM59" i="3"/>
  <c r="DK10" i="3"/>
  <c r="DK30" i="3"/>
  <c r="DK59" i="3"/>
  <c r="DK51" i="3"/>
  <c r="DM39" i="3"/>
  <c r="DM34" i="3"/>
  <c r="DM44" i="3"/>
  <c r="DM60" i="3"/>
  <c r="DK11" i="3"/>
  <c r="DK31" i="3"/>
  <c r="DK60" i="3"/>
  <c r="DM20" i="3"/>
  <c r="DM35" i="3"/>
  <c r="DM61" i="3"/>
  <c r="DK12" i="3"/>
  <c r="DK32" i="3"/>
  <c r="DK44" i="3"/>
  <c r="DK61" i="3"/>
  <c r="DL11" i="2"/>
  <c r="DL14" i="2"/>
  <c r="DL27" i="2"/>
  <c r="DL4" i="2"/>
  <c r="DL15" i="2"/>
  <c r="DL31" i="2"/>
  <c r="DL5" i="2"/>
  <c r="DL16" i="2"/>
  <c r="DL66" i="2"/>
  <c r="DL9" i="2"/>
  <c r="DL17" i="2"/>
  <c r="DL67" i="2"/>
  <c r="N7" i="2"/>
  <c r="DL10" i="2"/>
  <c r="DL18" i="2"/>
  <c r="DL68" i="2"/>
  <c r="L52" i="1"/>
  <c r="L56" i="1" s="1"/>
  <c r="N70" i="1"/>
  <c r="DK11" i="13"/>
  <c r="DK8" i="13"/>
  <c r="DK33" i="13"/>
  <c r="DK54" i="13"/>
  <c r="DK38" i="13"/>
  <c r="DK10" i="13"/>
  <c r="DK12" i="13"/>
  <c r="DK20" i="13"/>
  <c r="DK27" i="13"/>
  <c r="DK43" i="13"/>
  <c r="DK59" i="13"/>
  <c r="DK50" i="13"/>
  <c r="DK7" i="13"/>
  <c r="DK52" i="13"/>
  <c r="L7" i="2"/>
  <c r="L73" i="2" s="1"/>
  <c r="K16" i="4"/>
  <c r="K57" i="4" s="1"/>
  <c r="DK5" i="4"/>
  <c r="DK7" i="4" s="1"/>
  <c r="K61" i="13"/>
  <c r="DM29" i="13"/>
  <c r="DM35" i="13"/>
  <c r="L21" i="1"/>
  <c r="L70" i="1"/>
  <c r="L86" i="1"/>
  <c r="L20" i="2"/>
  <c r="DM34" i="13"/>
  <c r="DK9" i="13"/>
  <c r="L39" i="1"/>
  <c r="K28" i="13"/>
  <c r="K44" i="13" s="1"/>
  <c r="K6" i="13"/>
  <c r="N86" i="1"/>
  <c r="DM49" i="3"/>
  <c r="M28" i="13"/>
  <c r="N52" i="1"/>
  <c r="N56" i="1" s="1"/>
  <c r="N39" i="1"/>
  <c r="N20" i="2"/>
  <c r="N22" i="2" s="1"/>
  <c r="N29" i="2" s="1"/>
  <c r="M5" i="3" s="1"/>
  <c r="N72" i="2"/>
  <c r="DL72" i="2" s="1"/>
  <c r="N21" i="1"/>
  <c r="N41" i="1" s="1"/>
  <c r="M7" i="4"/>
  <c r="M16" i="4" s="1"/>
  <c r="O28" i="13"/>
  <c r="DL7" i="2" l="1"/>
  <c r="DK16" i="4"/>
  <c r="DK23" i="4" s="1"/>
  <c r="DK27" i="4" s="1"/>
  <c r="DK32" i="4" s="1"/>
  <c r="DK45" i="4" s="1"/>
  <c r="K23" i="4"/>
  <c r="K5" i="13" s="1"/>
  <c r="K22" i="13" s="1"/>
  <c r="K63" i="13" s="1"/>
  <c r="DL73" i="2"/>
  <c r="DL20" i="2"/>
  <c r="DL22" i="2" s="1"/>
  <c r="DL29" i="2" s="1"/>
  <c r="DL33" i="2" s="1"/>
  <c r="DL38" i="2" s="1"/>
  <c r="N88" i="1"/>
  <c r="N90" i="1" s="1"/>
  <c r="N92" i="1" s="1"/>
  <c r="L22" i="2"/>
  <c r="L29" i="2" s="1"/>
  <c r="L33" i="2" s="1"/>
  <c r="L38" i="2" s="1"/>
  <c r="L41" i="1"/>
  <c r="DK57" i="4"/>
  <c r="L88" i="1"/>
  <c r="L90" i="1" s="1"/>
  <c r="L92" i="1" s="1"/>
  <c r="DK28" i="13"/>
  <c r="DM28" i="13"/>
  <c r="N33" i="2"/>
  <c r="N38" i="2" s="1"/>
  <c r="N59" i="2" s="1"/>
  <c r="N73" i="2"/>
  <c r="N75" i="2" s="1"/>
  <c r="M23" i="4"/>
  <c r="M5" i="13" s="1"/>
  <c r="M57" i="4"/>
  <c r="DO43" i="4"/>
  <c r="O43" i="4"/>
  <c r="L75" i="2" l="1"/>
  <c r="K27" i="4"/>
  <c r="K32" i="4" s="1"/>
  <c r="DK5" i="13"/>
  <c r="DL59" i="2"/>
  <c r="DL75" i="2"/>
  <c r="L59" i="2"/>
  <c r="K5" i="3"/>
  <c r="DK5" i="3" s="1"/>
  <c r="K45" i="4"/>
  <c r="M27" i="4"/>
  <c r="M32" i="4" s="1"/>
  <c r="DO20" i="4"/>
  <c r="DM20" i="4"/>
  <c r="DO21" i="4"/>
  <c r="DM21" i="4"/>
  <c r="M45" i="4" l="1"/>
  <c r="DQ52" i="3" l="1"/>
  <c r="DR70" i="2"/>
  <c r="DR69" i="2"/>
  <c r="DR68" i="2"/>
  <c r="DR67" i="2"/>
  <c r="DR66" i="2"/>
  <c r="R47" i="2"/>
  <c r="R57" i="2" s="1"/>
  <c r="DR31" i="2"/>
  <c r="DR26" i="2"/>
  <c r="DR25" i="2"/>
  <c r="DR24" i="2"/>
  <c r="DR18" i="2"/>
  <c r="DR17" i="2"/>
  <c r="DR16" i="2"/>
  <c r="DR15" i="2"/>
  <c r="DR14" i="2"/>
  <c r="DR13" i="2"/>
  <c r="DR12" i="2"/>
  <c r="DR11" i="2"/>
  <c r="DR10" i="2"/>
  <c r="DR9" i="2"/>
  <c r="DR5" i="2"/>
  <c r="DR4" i="2"/>
  <c r="DR7" i="2" s="1"/>
  <c r="DO26" i="13"/>
  <c r="DR20" i="2" l="1"/>
  <c r="DR22" i="2" s="1"/>
  <c r="DP27" i="2"/>
  <c r="DR27" i="2"/>
  <c r="DB32" i="10"/>
  <c r="CN32" i="10"/>
  <c r="DD42" i="10"/>
  <c r="CP42" i="10"/>
  <c r="DQ57" i="3"/>
  <c r="DB33" i="10"/>
  <c r="CN33" i="10"/>
  <c r="DD43" i="10"/>
  <c r="CP43" i="10"/>
  <c r="DQ32" i="3"/>
  <c r="DO32" i="3"/>
  <c r="CV34" i="10"/>
  <c r="CH34" i="10"/>
  <c r="DB34" i="10"/>
  <c r="CN34" i="10"/>
  <c r="CX41" i="10"/>
  <c r="CJ41" i="10"/>
  <c r="CZ42" i="10"/>
  <c r="CL42" i="10"/>
  <c r="CZ46" i="10"/>
  <c r="CL46" i="10"/>
  <c r="DQ13" i="3"/>
  <c r="DO13" i="3"/>
  <c r="DQ33" i="3"/>
  <c r="DO33" i="3"/>
  <c r="DQ49" i="3"/>
  <c r="DO49" i="3"/>
  <c r="DQ59" i="3"/>
  <c r="DO59" i="3"/>
  <c r="CZ40" i="10"/>
  <c r="CL40" i="10"/>
  <c r="DQ11" i="3"/>
  <c r="DO11" i="3"/>
  <c r="DQ42" i="3"/>
  <c r="CX40" i="10"/>
  <c r="CJ40" i="10"/>
  <c r="DQ12" i="3"/>
  <c r="DO12" i="3"/>
  <c r="DQ58" i="3"/>
  <c r="DO58" i="3"/>
  <c r="CX33" i="10"/>
  <c r="CJ33" i="10"/>
  <c r="DD32" i="10"/>
  <c r="CP32" i="10"/>
  <c r="CX42" i="10"/>
  <c r="CJ42" i="10"/>
  <c r="CZ43" i="10"/>
  <c r="CL43" i="10"/>
  <c r="DQ20" i="3"/>
  <c r="DO20" i="3"/>
  <c r="DQ34" i="3"/>
  <c r="DO34" i="3"/>
  <c r="DQ51" i="3"/>
  <c r="DO51" i="3"/>
  <c r="DQ60" i="3"/>
  <c r="DO60" i="3"/>
  <c r="CV43" i="10"/>
  <c r="CH43" i="10"/>
  <c r="DQ31" i="3"/>
  <c r="DO31" i="3"/>
  <c r="CZ41" i="10"/>
  <c r="CL41" i="10"/>
  <c r="DQ44" i="3"/>
  <c r="DO44" i="3"/>
  <c r="CX34" i="10"/>
  <c r="CJ34" i="10"/>
  <c r="DD33" i="10"/>
  <c r="CP33" i="10"/>
  <c r="CX43" i="10"/>
  <c r="CJ43" i="10"/>
  <c r="DB37" i="10"/>
  <c r="CN37" i="10"/>
  <c r="DQ21" i="3"/>
  <c r="DO21" i="3"/>
  <c r="DQ35" i="3"/>
  <c r="DO35" i="3"/>
  <c r="DQ61" i="3"/>
  <c r="DO61" i="3"/>
  <c r="DB38" i="10"/>
  <c r="CN38" i="10"/>
  <c r="DQ27" i="3"/>
  <c r="DO27" i="3"/>
  <c r="DQ53" i="3"/>
  <c r="DO53" i="3"/>
  <c r="CZ32" i="10"/>
  <c r="CL32" i="10"/>
  <c r="CV40" i="10"/>
  <c r="CH40" i="10"/>
  <c r="CZ37" i="10"/>
  <c r="CL37" i="10"/>
  <c r="DQ7" i="3"/>
  <c r="DQ36" i="3"/>
  <c r="DO36" i="3"/>
  <c r="R72" i="2"/>
  <c r="DR72" i="2" s="1"/>
  <c r="DR73" i="2" s="1"/>
  <c r="DR75" i="2" s="1"/>
  <c r="CZ33" i="10"/>
  <c r="CL33" i="10"/>
  <c r="CV41" i="10"/>
  <c r="CH41" i="10"/>
  <c r="CZ38" i="10"/>
  <c r="CL38" i="10"/>
  <c r="DB41" i="10"/>
  <c r="CN41" i="10"/>
  <c r="DQ8" i="3"/>
  <c r="DQ28" i="3"/>
  <c r="DO28" i="3"/>
  <c r="DQ39" i="3"/>
  <c r="DO39" i="3"/>
  <c r="DQ55" i="3"/>
  <c r="DO55" i="3"/>
  <c r="CZ34" i="10"/>
  <c r="CL34" i="10"/>
  <c r="CV42" i="10"/>
  <c r="CH42" i="10"/>
  <c r="CZ39" i="10"/>
  <c r="CL39" i="10"/>
  <c r="DB43" i="10"/>
  <c r="DQ10" i="3"/>
  <c r="DO10" i="3"/>
  <c r="DQ30" i="3"/>
  <c r="DO30" i="3"/>
  <c r="DQ41" i="3"/>
  <c r="DO41" i="3"/>
  <c r="DQ56" i="3"/>
  <c r="DO56" i="3"/>
  <c r="DQ55" i="13"/>
  <c r="DO55" i="13"/>
  <c r="DQ29" i="13"/>
  <c r="DO29" i="13"/>
  <c r="DQ56" i="13"/>
  <c r="DO56" i="13"/>
  <c r="DQ9" i="13"/>
  <c r="DO9" i="13"/>
  <c r="DQ30" i="13"/>
  <c r="DO30" i="13"/>
  <c r="DQ43" i="13"/>
  <c r="DO43" i="13"/>
  <c r="DQ57" i="13"/>
  <c r="DO57" i="13"/>
  <c r="DQ41" i="13"/>
  <c r="DQ10" i="13"/>
  <c r="DO10" i="13"/>
  <c r="DQ31" i="13"/>
  <c r="DO31" i="13"/>
  <c r="DQ48" i="13"/>
  <c r="DO48" i="13"/>
  <c r="DQ58" i="13"/>
  <c r="DO58" i="13"/>
  <c r="DQ52" i="13"/>
  <c r="DO52" i="13"/>
  <c r="DQ35" i="13"/>
  <c r="DO35" i="13"/>
  <c r="DQ38" i="13"/>
  <c r="DO38" i="13"/>
  <c r="DQ8" i="13"/>
  <c r="DO8" i="13"/>
  <c r="DQ11" i="13"/>
  <c r="DO11" i="13"/>
  <c r="DQ32" i="13"/>
  <c r="DO32" i="13"/>
  <c r="DQ50" i="13"/>
  <c r="DO50" i="13"/>
  <c r="DQ59" i="13"/>
  <c r="DO59" i="13"/>
  <c r="DQ20" i="13"/>
  <c r="DO20" i="13"/>
  <c r="DQ34" i="13"/>
  <c r="DO34" i="13"/>
  <c r="DQ54" i="13"/>
  <c r="DO54" i="13"/>
  <c r="DQ27" i="13"/>
  <c r="DO27" i="13"/>
  <c r="DQ12" i="13"/>
  <c r="DO12" i="13"/>
  <c r="DQ33" i="13"/>
  <c r="DO33" i="13"/>
  <c r="DQ51" i="13"/>
  <c r="DQ60" i="13"/>
  <c r="DO60" i="13"/>
  <c r="R20" i="2"/>
  <c r="R7" i="2"/>
  <c r="R73" i="2" s="1"/>
  <c r="DQ26" i="13"/>
  <c r="R70" i="1"/>
  <c r="R39" i="1"/>
  <c r="Q28" i="13"/>
  <c r="DR29" i="2" l="1"/>
  <c r="DR33" i="2" s="1"/>
  <c r="DR38" i="2" s="1"/>
  <c r="DR59" i="2"/>
  <c r="DF43" i="10"/>
  <c r="DQ28" i="13"/>
  <c r="DO28" i="13"/>
  <c r="R22" i="2"/>
  <c r="R29" i="2" s="1"/>
  <c r="R33" i="2" s="1"/>
  <c r="R38" i="2" s="1"/>
  <c r="DQ43" i="4"/>
  <c r="DQ21" i="4"/>
  <c r="DQ20" i="4"/>
  <c r="Q43" i="4"/>
  <c r="DK1" i="13"/>
  <c r="DM1" i="13"/>
  <c r="DO1" i="13"/>
  <c r="DQ1" i="13"/>
  <c r="DK1" i="4"/>
  <c r="DM1" i="4"/>
  <c r="DO1" i="4"/>
  <c r="DQ1" i="4"/>
  <c r="CZ36" i="10"/>
  <c r="DB31" i="10"/>
  <c r="CZ31" i="10"/>
  <c r="CV28" i="10"/>
  <c r="DF17" i="10"/>
  <c r="CZ10" i="10"/>
  <c r="DB5" i="10"/>
  <c r="CZ5" i="10"/>
  <c r="CL36" i="10"/>
  <c r="CN31" i="10"/>
  <c r="CL31" i="10"/>
  <c r="CH28" i="10"/>
  <c r="CR16" i="10"/>
  <c r="CR15" i="10"/>
  <c r="CL10" i="10"/>
  <c r="CN5" i="10"/>
  <c r="CL5" i="10"/>
  <c r="CL19" i="10" s="1"/>
  <c r="CL22" i="10" s="1"/>
  <c r="CD42" i="10"/>
  <c r="BT28" i="10"/>
  <c r="CD17" i="10"/>
  <c r="CD16" i="10"/>
  <c r="CD15" i="10"/>
  <c r="CD14" i="10"/>
  <c r="CD13" i="10"/>
  <c r="CD12" i="10"/>
  <c r="CD11" i="10"/>
  <c r="BV10" i="10"/>
  <c r="BX10" i="10"/>
  <c r="BT10" i="10"/>
  <c r="CD8" i="10"/>
  <c r="CD7" i="10"/>
  <c r="BZ31" i="10"/>
  <c r="BV5" i="10"/>
  <c r="BZ5" i="10"/>
  <c r="BX5" i="10"/>
  <c r="BN42" i="10"/>
  <c r="BL42" i="10"/>
  <c r="BJ42" i="10"/>
  <c r="BH42" i="10"/>
  <c r="BF42" i="10"/>
  <c r="BF41" i="10"/>
  <c r="BJ39" i="10"/>
  <c r="BJ38" i="10"/>
  <c r="BF28" i="10"/>
  <c r="BJ43" i="10"/>
  <c r="BH43" i="10"/>
  <c r="BF43" i="10"/>
  <c r="BP16" i="10"/>
  <c r="BL41" i="10"/>
  <c r="BJ41" i="10"/>
  <c r="BH41" i="10"/>
  <c r="BP15" i="10"/>
  <c r="BH40" i="10"/>
  <c r="BL38" i="10"/>
  <c r="BL37" i="10"/>
  <c r="BJ37" i="10"/>
  <c r="BL31" i="10"/>
  <c r="BJ31" i="10"/>
  <c r="DT16" i="10"/>
  <c r="DJ28" i="10"/>
  <c r="DJ42" i="10"/>
  <c r="DL42" i="10"/>
  <c r="DN42" i="10"/>
  <c r="DP42" i="10"/>
  <c r="DR42" i="10"/>
  <c r="DK1" i="3"/>
  <c r="DM1" i="3"/>
  <c r="DO1" i="3"/>
  <c r="DQ1" i="3"/>
  <c r="BX19" i="10" l="1"/>
  <c r="BX22" i="10" s="1"/>
  <c r="BZ19" i="10"/>
  <c r="BZ22" i="10" s="1"/>
  <c r="BZ24" i="10" s="1"/>
  <c r="BV19" i="10"/>
  <c r="BV22" i="10" s="1"/>
  <c r="BV24" i="10" s="1"/>
  <c r="CL45" i="10"/>
  <c r="CL48" i="10" s="1"/>
  <c r="R75" i="2"/>
  <c r="DQ13" i="4"/>
  <c r="DQ14" i="4"/>
  <c r="DQ18" i="4"/>
  <c r="DQ5" i="4"/>
  <c r="DQ19" i="4"/>
  <c r="DQ12" i="4"/>
  <c r="DQ9" i="4"/>
  <c r="DQ25" i="4"/>
  <c r="DQ10" i="4"/>
  <c r="DQ4" i="4"/>
  <c r="DQ11" i="4"/>
  <c r="DQ56" i="4"/>
  <c r="DT8" i="10"/>
  <c r="DT13" i="10"/>
  <c r="DL5" i="10"/>
  <c r="DT42" i="10"/>
  <c r="Q5" i="3"/>
  <c r="DT20" i="10"/>
  <c r="R59" i="2"/>
  <c r="CZ19" i="10"/>
  <c r="CZ22" i="10" s="1"/>
  <c r="DT12" i="10"/>
  <c r="DT7" i="10"/>
  <c r="DT15" i="10"/>
  <c r="DT17" i="10"/>
  <c r="DR10" i="10"/>
  <c r="DR5" i="10"/>
  <c r="DT14" i="10"/>
  <c r="DP5" i="10"/>
  <c r="DN10" i="10"/>
  <c r="DN5" i="10"/>
  <c r="DL10" i="10"/>
  <c r="DJ10" i="10"/>
  <c r="DJ5" i="10"/>
  <c r="CZ45" i="10"/>
  <c r="CZ48" i="10" s="1"/>
  <c r="T86" i="1"/>
  <c r="T70" i="1"/>
  <c r="Q7" i="4"/>
  <c r="Q16" i="4" s="1"/>
  <c r="BX31" i="10"/>
  <c r="CD41" i="10"/>
  <c r="BP42" i="10"/>
  <c r="BN41" i="10"/>
  <c r="BP41" i="10" s="1"/>
  <c r="CB5" i="10"/>
  <c r="CB10" i="10"/>
  <c r="CD10" i="10" s="1"/>
  <c r="BJ40" i="10"/>
  <c r="BJ36" i="10" s="1"/>
  <c r="BJ45" i="10" s="1"/>
  <c r="BJ48" i="10" s="1"/>
  <c r="CD20" i="10"/>
  <c r="BJ5" i="10"/>
  <c r="BJ10" i="10"/>
  <c r="BL5" i="10"/>
  <c r="BF40" i="10"/>
  <c r="DT11" i="10"/>
  <c r="DP10" i="10"/>
  <c r="DT6" i="10"/>
  <c r="T39" i="1"/>
  <c r="T21" i="1"/>
  <c r="T52" i="1"/>
  <c r="T56" i="1" s="1"/>
  <c r="DL19" i="10" l="1"/>
  <c r="DL22" i="10" s="1"/>
  <c r="DL24" i="10" s="1"/>
  <c r="DR19" i="10"/>
  <c r="DR22" i="10" s="1"/>
  <c r="DJ19" i="10"/>
  <c r="DJ22" i="10" s="1"/>
  <c r="DJ24" i="10" s="1"/>
  <c r="DT24" i="10" s="1"/>
  <c r="DQ7" i="4"/>
  <c r="DP19" i="10"/>
  <c r="DP22" i="10" s="1"/>
  <c r="DN19" i="10"/>
  <c r="DN22" i="10" s="1"/>
  <c r="CB19" i="10"/>
  <c r="CB22" i="10" s="1"/>
  <c r="CB24" i="10" s="1"/>
  <c r="DQ5" i="3"/>
  <c r="DT5" i="10"/>
  <c r="T88" i="1"/>
  <c r="T90" i="1" s="1"/>
  <c r="Q23" i="4"/>
  <c r="Q57" i="4"/>
  <c r="DT10" i="10"/>
  <c r="BX36" i="10"/>
  <c r="BX45" i="10" s="1"/>
  <c r="BX48" i="10" s="1"/>
  <c r="BJ19" i="10"/>
  <c r="BJ22" i="10" s="1"/>
  <c r="T41" i="1"/>
  <c r="DQ16" i="4" l="1"/>
  <c r="DQ23" i="4" s="1"/>
  <c r="DQ27" i="4" s="1"/>
  <c r="DQ32" i="4" s="1"/>
  <c r="DQ45" i="4" s="1"/>
  <c r="DT19" i="10"/>
  <c r="DT22" i="10" s="1"/>
  <c r="T92" i="1"/>
  <c r="Q5" i="13"/>
  <c r="Q27" i="4"/>
  <c r="Q32" i="4" s="1"/>
  <c r="DQ57" i="4" l="1"/>
  <c r="Q45" i="4"/>
  <c r="DQ5" i="13"/>
  <c r="DS54" i="3"/>
  <c r="DS40" i="3"/>
  <c r="DS37" i="3"/>
  <c r="DS29" i="3"/>
  <c r="DX46" i="2"/>
  <c r="DV46" i="2"/>
  <c r="DT53" i="2"/>
  <c r="DT52" i="2"/>
  <c r="DT51" i="2"/>
  <c r="DT50" i="2"/>
  <c r="DT49" i="2"/>
  <c r="DT45" i="2"/>
  <c r="DT44" i="2"/>
  <c r="DT43" i="2"/>
  <c r="DT42" i="2"/>
  <c r="DT36" i="2"/>
  <c r="DS41" i="4"/>
  <c r="DS40" i="4"/>
  <c r="DS39" i="4"/>
  <c r="DS38" i="4"/>
  <c r="DS37" i="4"/>
  <c r="DS36" i="4"/>
  <c r="DS35" i="4"/>
  <c r="DS34" i="4"/>
  <c r="DS30" i="4"/>
  <c r="DS21" i="4"/>
  <c r="DS20" i="4"/>
  <c r="DT55" i="2" l="1"/>
  <c r="DS43" i="4"/>
  <c r="S28" i="13"/>
  <c r="T72" i="2"/>
  <c r="DU54" i="3"/>
  <c r="DU37" i="3"/>
  <c r="DU29" i="3"/>
  <c r="DS61" i="3"/>
  <c r="DS60" i="3"/>
  <c r="DS59" i="3"/>
  <c r="DS58" i="3"/>
  <c r="DS55" i="3"/>
  <c r="DS53" i="3"/>
  <c r="DS51" i="3"/>
  <c r="DS49" i="3"/>
  <c r="DS44" i="3"/>
  <c r="DS39" i="3"/>
  <c r="DS36" i="3"/>
  <c r="DS35" i="3"/>
  <c r="DS34" i="3"/>
  <c r="DS33" i="3"/>
  <c r="DS32" i="3"/>
  <c r="DS31" i="3"/>
  <c r="DS30" i="3"/>
  <c r="DS28" i="3"/>
  <c r="DS27" i="3"/>
  <c r="DS21" i="3"/>
  <c r="DS20" i="3"/>
  <c r="DS13" i="3"/>
  <c r="DS12" i="3"/>
  <c r="DS11" i="3"/>
  <c r="DS10" i="3"/>
  <c r="DS60" i="13"/>
  <c r="DS59" i="13"/>
  <c r="DS58" i="13"/>
  <c r="DS57" i="13"/>
  <c r="DS56" i="13"/>
  <c r="DS54" i="13"/>
  <c r="DS52" i="13"/>
  <c r="DS50" i="13"/>
  <c r="DS48" i="13"/>
  <c r="DS43" i="13"/>
  <c r="DS38" i="13"/>
  <c r="DS35" i="13"/>
  <c r="DS34" i="13"/>
  <c r="DS33" i="13"/>
  <c r="DS32" i="13"/>
  <c r="DS31" i="13"/>
  <c r="DS30" i="13"/>
  <c r="DS29" i="13"/>
  <c r="DS27" i="13"/>
  <c r="DS26" i="13"/>
  <c r="DS20" i="13"/>
  <c r="DS12" i="13"/>
  <c r="DS11" i="13"/>
  <c r="DS10" i="13"/>
  <c r="DS9" i="13"/>
  <c r="DS8" i="13"/>
  <c r="U28" i="13" l="1"/>
  <c r="DS28" i="13" s="1"/>
  <c r="EF42" i="10" l="1"/>
  <c r="ED42" i="10"/>
  <c r="EB42" i="10"/>
  <c r="DZ42" i="10"/>
  <c r="DX42" i="10"/>
  <c r="DN46" i="10"/>
  <c r="DP41" i="10"/>
  <c r="DP38" i="10"/>
  <c r="DP37" i="10"/>
  <c r="DN43" i="10"/>
  <c r="DN41" i="10"/>
  <c r="DN40" i="10"/>
  <c r="DN39" i="10"/>
  <c r="DN38" i="10"/>
  <c r="DN37" i="10"/>
  <c r="DL43" i="10"/>
  <c r="DL41" i="10"/>
  <c r="DL40" i="10"/>
  <c r="DJ43" i="10"/>
  <c r="DJ41" i="10"/>
  <c r="DJ40" i="10"/>
  <c r="DR33" i="10"/>
  <c r="DR32" i="10"/>
  <c r="DP34" i="10"/>
  <c r="DP33" i="10"/>
  <c r="DP32" i="10"/>
  <c r="DN34" i="10"/>
  <c r="DN33" i="10"/>
  <c r="DN32" i="10"/>
  <c r="DL34" i="10"/>
  <c r="DL33" i="10"/>
  <c r="DJ34" i="10"/>
  <c r="DV53" i="2"/>
  <c r="DV52" i="2"/>
  <c r="DV51" i="2"/>
  <c r="DV50" i="2"/>
  <c r="DV49" i="2"/>
  <c r="DV45" i="2"/>
  <c r="DV44" i="2"/>
  <c r="DV43" i="2"/>
  <c r="DV42" i="2"/>
  <c r="DV41" i="2"/>
  <c r="DV36" i="2"/>
  <c r="DT67" i="2"/>
  <c r="DT68" i="2"/>
  <c r="DT69" i="2"/>
  <c r="DT70" i="2"/>
  <c r="DT66" i="2"/>
  <c r="DT25" i="2"/>
  <c r="DT26" i="2"/>
  <c r="DT27" i="2"/>
  <c r="DT24" i="2"/>
  <c r="DT18" i="2"/>
  <c r="DT16" i="2"/>
  <c r="DT15" i="2"/>
  <c r="DT14" i="2"/>
  <c r="DT13" i="2"/>
  <c r="DT12" i="2"/>
  <c r="DT11" i="2"/>
  <c r="DT10" i="2"/>
  <c r="DT9" i="2"/>
  <c r="DT5" i="2"/>
  <c r="DN36" i="10" l="1"/>
  <c r="DN31" i="10"/>
  <c r="DP31" i="10"/>
  <c r="DV55" i="2"/>
  <c r="DV47" i="2"/>
  <c r="V72" i="2"/>
  <c r="DT72" i="2" s="1"/>
  <c r="DT17" i="2"/>
  <c r="DT20" i="2" s="1"/>
  <c r="DV71" i="2"/>
  <c r="DT71" i="2"/>
  <c r="DN45" i="10" l="1"/>
  <c r="DN48" i="10" s="1"/>
  <c r="DV57" i="2"/>
  <c r="DU41" i="4"/>
  <c r="DU40" i="4"/>
  <c r="DU39" i="4"/>
  <c r="DU38" i="4"/>
  <c r="DU37" i="4"/>
  <c r="DU36" i="4"/>
  <c r="DU35" i="4"/>
  <c r="DU34" i="4"/>
  <c r="DU30" i="4"/>
  <c r="DS56" i="4"/>
  <c r="DS25" i="4"/>
  <c r="DS19" i="4"/>
  <c r="DS18" i="4"/>
  <c r="DS14" i="4"/>
  <c r="DS13" i="4"/>
  <c r="DS12" i="4"/>
  <c r="DS11" i="4"/>
  <c r="DS10" i="4"/>
  <c r="DS9" i="4"/>
  <c r="DS5" i="4"/>
  <c r="DS4" i="4"/>
  <c r="DU43" i="4" l="1"/>
  <c r="DS7" i="4"/>
  <c r="DU60" i="13"/>
  <c r="DU59" i="13"/>
  <c r="DU58" i="13"/>
  <c r="DU57" i="13"/>
  <c r="DU56" i="13"/>
  <c r="DU54" i="13"/>
  <c r="DU52" i="13"/>
  <c r="DU50" i="13"/>
  <c r="DU48" i="13"/>
  <c r="DU43" i="13"/>
  <c r="DU38" i="13"/>
  <c r="DU35" i="13"/>
  <c r="DU34" i="13"/>
  <c r="DU33" i="13"/>
  <c r="DU32" i="13"/>
  <c r="DU31" i="13"/>
  <c r="DU30" i="13"/>
  <c r="DU29" i="13"/>
  <c r="DU27" i="13"/>
  <c r="DU26" i="13"/>
  <c r="DU20" i="13"/>
  <c r="DU12" i="13"/>
  <c r="DU11" i="13"/>
  <c r="DU10" i="13"/>
  <c r="DU9" i="13"/>
  <c r="DU8" i="13"/>
  <c r="DS16" i="4" l="1"/>
  <c r="DS57" i="4" s="1"/>
  <c r="DU28" i="13"/>
  <c r="EV16" i="10"/>
  <c r="DZ43" i="10"/>
  <c r="DX43" i="10"/>
  <c r="EB43" i="10"/>
  <c r="DS23" i="4" l="1"/>
  <c r="DS27" i="4" s="1"/>
  <c r="DS32" i="4" s="1"/>
  <c r="DS45" i="4" s="1"/>
  <c r="DW54" i="3"/>
  <c r="DW37" i="3"/>
  <c r="DW29" i="3"/>
  <c r="DU41" i="3"/>
  <c r="DU21" i="3"/>
  <c r="DU49" i="3" l="1"/>
  <c r="DU61" i="3" l="1"/>
  <c r="DU58" i="3"/>
  <c r="DU55" i="3"/>
  <c r="DU53" i="3"/>
  <c r="DU51" i="3"/>
  <c r="DU44" i="3"/>
  <c r="DU39" i="3"/>
  <c r="DU36" i="3"/>
  <c r="DU20" i="3"/>
  <c r="DU13" i="3"/>
  <c r="DU12" i="3"/>
  <c r="DU60" i="3" l="1"/>
  <c r="DU35" i="3"/>
  <c r="DU59" i="3"/>
  <c r="DU33" i="3"/>
  <c r="DU10" i="3"/>
  <c r="DU32" i="3" l="1"/>
  <c r="DU31" i="3"/>
  <c r="DU30" i="3"/>
  <c r="DU28" i="3"/>
  <c r="DU11" i="3"/>
  <c r="DW27" i="3" l="1"/>
  <c r="DU27" i="3"/>
  <c r="DU34" i="3"/>
  <c r="DU56" i="3" l="1"/>
  <c r="EP51" i="10" l="1"/>
  <c r="EB46" i="10"/>
  <c r="EB41" i="10"/>
  <c r="EB40" i="10"/>
  <c r="EB39" i="10"/>
  <c r="EB38" i="10"/>
  <c r="EB37" i="10"/>
  <c r="DZ41" i="10"/>
  <c r="DZ40" i="10"/>
  <c r="DX41" i="10"/>
  <c r="DX40" i="10"/>
  <c r="EF33" i="10"/>
  <c r="EF32" i="10"/>
  <c r="ED33" i="10"/>
  <c r="ED32" i="10"/>
  <c r="EB34" i="10"/>
  <c r="EB33" i="10"/>
  <c r="EB32" i="10"/>
  <c r="DZ34" i="10"/>
  <c r="DZ33" i="10"/>
  <c r="DX34" i="10"/>
  <c r="W6" i="13" l="1"/>
  <c r="DX36" i="2"/>
  <c r="DV70" i="2"/>
  <c r="DV69" i="2"/>
  <c r="DV68" i="2"/>
  <c r="DV66" i="2"/>
  <c r="DV27" i="2"/>
  <c r="DV26" i="2"/>
  <c r="DV25" i="2"/>
  <c r="DV24" i="2"/>
  <c r="DV18" i="2"/>
  <c r="DV16" i="2"/>
  <c r="DV15" i="2"/>
  <c r="DV14" i="2"/>
  <c r="DV13" i="2"/>
  <c r="DV12" i="2"/>
  <c r="DV11" i="2"/>
  <c r="DV10" i="2"/>
  <c r="DV9" i="2"/>
  <c r="DV5" i="2"/>
  <c r="DU56" i="4"/>
  <c r="DU25" i="4"/>
  <c r="DU19" i="4"/>
  <c r="DU18" i="4"/>
  <c r="DU14" i="4"/>
  <c r="DU13" i="4"/>
  <c r="DU12" i="4"/>
  <c r="DU11" i="4"/>
  <c r="DU10" i="4"/>
  <c r="DU9" i="4"/>
  <c r="DU5" i="4"/>
  <c r="DU4" i="4"/>
  <c r="DU7" i="4" l="1"/>
  <c r="DW20" i="4"/>
  <c r="DU20" i="4"/>
  <c r="DW21" i="4"/>
  <c r="DU21" i="4"/>
  <c r="X72" i="2"/>
  <c r="DV72" i="2" s="1"/>
  <c r="DV17" i="2"/>
  <c r="DV20" i="2" s="1"/>
  <c r="DY40" i="3"/>
  <c r="DY29" i="3"/>
  <c r="DY27" i="3"/>
  <c r="DW61" i="3"/>
  <c r="DW60" i="3"/>
  <c r="DW59" i="3"/>
  <c r="DW58" i="3"/>
  <c r="DW56" i="3"/>
  <c r="DW55" i="3"/>
  <c r="DW53" i="3"/>
  <c r="DW51" i="3"/>
  <c r="DW49" i="3"/>
  <c r="EP46" i="10"/>
  <c r="DU16" i="4" l="1"/>
  <c r="DU57" i="4" s="1"/>
  <c r="DY20" i="3"/>
  <c r="DW20" i="3"/>
  <c r="DY36" i="3"/>
  <c r="DW36" i="3"/>
  <c r="DY30" i="3"/>
  <c r="DW30" i="3"/>
  <c r="DY10" i="3"/>
  <c r="DW10" i="3"/>
  <c r="DY31" i="3"/>
  <c r="DW31" i="3"/>
  <c r="DY39" i="3"/>
  <c r="DW39" i="3"/>
  <c r="DY35" i="3"/>
  <c r="DW35" i="3"/>
  <c r="DY28" i="3"/>
  <c r="DW28" i="3"/>
  <c r="DY11" i="3"/>
  <c r="DW11" i="3"/>
  <c r="DY32" i="3"/>
  <c r="DW32" i="3"/>
  <c r="DY41" i="3"/>
  <c r="DW41" i="3"/>
  <c r="DY21" i="3"/>
  <c r="DW21" i="3"/>
  <c r="DY12" i="3"/>
  <c r="DW12" i="3"/>
  <c r="DY33" i="3"/>
  <c r="DW33" i="3"/>
  <c r="DY43" i="3"/>
  <c r="DY13" i="3"/>
  <c r="DW13" i="3"/>
  <c r="DY34" i="3"/>
  <c r="DW34" i="3"/>
  <c r="DY44" i="3"/>
  <c r="DW44" i="3"/>
  <c r="FB43" i="10"/>
  <c r="EN43" i="10"/>
  <c r="FD32" i="10"/>
  <c r="EP32" i="10"/>
  <c r="EZ40" i="10"/>
  <c r="EL40" i="10"/>
  <c r="FD37" i="10"/>
  <c r="EP37" i="10"/>
  <c r="FF38" i="10"/>
  <c r="FD34" i="10"/>
  <c r="EP34" i="10"/>
  <c r="EZ42" i="10"/>
  <c r="EL42" i="10"/>
  <c r="FD39" i="10"/>
  <c r="EP39" i="10"/>
  <c r="FF42" i="10"/>
  <c r="EZ41" i="10"/>
  <c r="EL41" i="10"/>
  <c r="FF32" i="10"/>
  <c r="ER32" i="10"/>
  <c r="FD40" i="10"/>
  <c r="EP40" i="10"/>
  <c r="FH42" i="10"/>
  <c r="ET42" i="10"/>
  <c r="FB34" i="10"/>
  <c r="EN34" i="10"/>
  <c r="FF37" i="10"/>
  <c r="FD33" i="10"/>
  <c r="EP33" i="10"/>
  <c r="EZ43" i="10"/>
  <c r="EL43" i="10"/>
  <c r="FF33" i="10"/>
  <c r="ER33" i="10"/>
  <c r="FB40" i="10"/>
  <c r="EN40" i="10"/>
  <c r="FD41" i="10"/>
  <c r="EP41" i="10"/>
  <c r="FH43" i="10"/>
  <c r="ET43" i="10"/>
  <c r="FD38" i="10"/>
  <c r="EP38" i="10"/>
  <c r="EZ34" i="10"/>
  <c r="EL34" i="10"/>
  <c r="FF34" i="10"/>
  <c r="FB41" i="10"/>
  <c r="EN41" i="10"/>
  <c r="FD42" i="10"/>
  <c r="EP42" i="10"/>
  <c r="FH33" i="10"/>
  <c r="ET33" i="10"/>
  <c r="FF41" i="10"/>
  <c r="FB33" i="10"/>
  <c r="EN33" i="10"/>
  <c r="FH32" i="10"/>
  <c r="ET32" i="10"/>
  <c r="FB42" i="10"/>
  <c r="EN42" i="10"/>
  <c r="FD43" i="10"/>
  <c r="EP43" i="10"/>
  <c r="EG60" i="13"/>
  <c r="EE60" i="13"/>
  <c r="EC60" i="13"/>
  <c r="EA60" i="13"/>
  <c r="EG59" i="13"/>
  <c r="EE59" i="13"/>
  <c r="EC59" i="13"/>
  <c r="EA59" i="13"/>
  <c r="EG58" i="13"/>
  <c r="EE58" i="13"/>
  <c r="EC58" i="13"/>
  <c r="EA58" i="13"/>
  <c r="EG57" i="13"/>
  <c r="EE57" i="13"/>
  <c r="EC57" i="13"/>
  <c r="EA57" i="13"/>
  <c r="EG56" i="13"/>
  <c r="EE56" i="13"/>
  <c r="EC56" i="13"/>
  <c r="EA56" i="13"/>
  <c r="EG55" i="13"/>
  <c r="EE55" i="13"/>
  <c r="EC55" i="13"/>
  <c r="EA55" i="13"/>
  <c r="EG54" i="13"/>
  <c r="EE54" i="13"/>
  <c r="EC54" i="13"/>
  <c r="EA54" i="13"/>
  <c r="EG52" i="13"/>
  <c r="EE52" i="13"/>
  <c r="EC52" i="13"/>
  <c r="EA52" i="13"/>
  <c r="EG51" i="13"/>
  <c r="EE51" i="13"/>
  <c r="EC51" i="13"/>
  <c r="EA51" i="13"/>
  <c r="EG50" i="13"/>
  <c r="EE50" i="13"/>
  <c r="EC50" i="13"/>
  <c r="EA50" i="13"/>
  <c r="EG49" i="13"/>
  <c r="EE49" i="13"/>
  <c r="EC49" i="13"/>
  <c r="EA49" i="13"/>
  <c r="EG48" i="13"/>
  <c r="EE48" i="13"/>
  <c r="EC48" i="13"/>
  <c r="EA48" i="13"/>
  <c r="EG43" i="13"/>
  <c r="EE43" i="13"/>
  <c r="EC43" i="13"/>
  <c r="EA43" i="13"/>
  <c r="EG42" i="13"/>
  <c r="EE42" i="13"/>
  <c r="EC42" i="13"/>
  <c r="EA42" i="13"/>
  <c r="EG41" i="13"/>
  <c r="EE41" i="13"/>
  <c r="EC41" i="13"/>
  <c r="EA41" i="13"/>
  <c r="EG40" i="13"/>
  <c r="EE40" i="13"/>
  <c r="EC40" i="13"/>
  <c r="EA40" i="13"/>
  <c r="EG39" i="13"/>
  <c r="EE39" i="13"/>
  <c r="EC39" i="13"/>
  <c r="EA39" i="13"/>
  <c r="EG38" i="13"/>
  <c r="EE38" i="13"/>
  <c r="EC38" i="13"/>
  <c r="EA38" i="13"/>
  <c r="EG37" i="13"/>
  <c r="EE37" i="13"/>
  <c r="EC37" i="13"/>
  <c r="EA37" i="13"/>
  <c r="EG35" i="13"/>
  <c r="EE35" i="13"/>
  <c r="EC35" i="13"/>
  <c r="EA35" i="13"/>
  <c r="EG34" i="13"/>
  <c r="EE34" i="13"/>
  <c r="EC34" i="13"/>
  <c r="EA34" i="13"/>
  <c r="EG33" i="13"/>
  <c r="EE33" i="13"/>
  <c r="EC33" i="13"/>
  <c r="EA33" i="13"/>
  <c r="EG32" i="13"/>
  <c r="EE32" i="13"/>
  <c r="EC32" i="13"/>
  <c r="EA32" i="13"/>
  <c r="EG31" i="13"/>
  <c r="EE31" i="13"/>
  <c r="EC31" i="13"/>
  <c r="EA31" i="13"/>
  <c r="EG30" i="13"/>
  <c r="EE30" i="13"/>
  <c r="EC30" i="13"/>
  <c r="EA30" i="13"/>
  <c r="EG29" i="13"/>
  <c r="EE29" i="13"/>
  <c r="EC29" i="13"/>
  <c r="EA29" i="13"/>
  <c r="EG28" i="13"/>
  <c r="EE28" i="13"/>
  <c r="EC28" i="13"/>
  <c r="EA28" i="13"/>
  <c r="EG27" i="13"/>
  <c r="EE27" i="13"/>
  <c r="EC27" i="13"/>
  <c r="EA27" i="13"/>
  <c r="EG26" i="13"/>
  <c r="EE26" i="13"/>
  <c r="EC26" i="13"/>
  <c r="EA26" i="13"/>
  <c r="EG21" i="13"/>
  <c r="EE21" i="13"/>
  <c r="EC21" i="13"/>
  <c r="EA21" i="13"/>
  <c r="EG20" i="13"/>
  <c r="EE20" i="13"/>
  <c r="EC20" i="13"/>
  <c r="EA20" i="13"/>
  <c r="EG19" i="13"/>
  <c r="EE19" i="13"/>
  <c r="EC19" i="13"/>
  <c r="EA19" i="13"/>
  <c r="EG18" i="13"/>
  <c r="EE18" i="13"/>
  <c r="EC18" i="13"/>
  <c r="EA18" i="13"/>
  <c r="EG17" i="13"/>
  <c r="EE17" i="13"/>
  <c r="EC17" i="13"/>
  <c r="EA17" i="13"/>
  <c r="EG16" i="13"/>
  <c r="EE16" i="13"/>
  <c r="EC16" i="13"/>
  <c r="EA16" i="13"/>
  <c r="EG15" i="13"/>
  <c r="EE15" i="13"/>
  <c r="EC15" i="13"/>
  <c r="EA15" i="13"/>
  <c r="EG14" i="13"/>
  <c r="EE14" i="13"/>
  <c r="EC14" i="13"/>
  <c r="EA14" i="13"/>
  <c r="EG13" i="13"/>
  <c r="EE13" i="13"/>
  <c r="EC13" i="13"/>
  <c r="EA13" i="13"/>
  <c r="EG12" i="13"/>
  <c r="EE12" i="13"/>
  <c r="EC12" i="13"/>
  <c r="EA12" i="13"/>
  <c r="EG11" i="13"/>
  <c r="EE11" i="13"/>
  <c r="EC11" i="13"/>
  <c r="EA11" i="13"/>
  <c r="EG10" i="13"/>
  <c r="EE10" i="13"/>
  <c r="EC10" i="13"/>
  <c r="EA10" i="13"/>
  <c r="EG9" i="13"/>
  <c r="EE9" i="13"/>
  <c r="EC9" i="13"/>
  <c r="EA9" i="13"/>
  <c r="EG8" i="13"/>
  <c r="EE8" i="13"/>
  <c r="EC8" i="13"/>
  <c r="EA8" i="13"/>
  <c r="EG7" i="13"/>
  <c r="EE7" i="13"/>
  <c r="EC7" i="13"/>
  <c r="EA7" i="13"/>
  <c r="EK1" i="13"/>
  <c r="EI1" i="13"/>
  <c r="EG1" i="13"/>
  <c r="EE1" i="13"/>
  <c r="EC1" i="13"/>
  <c r="EA1" i="13"/>
  <c r="AA6" i="13"/>
  <c r="AC6" i="13"/>
  <c r="AE6" i="13"/>
  <c r="AG6" i="13"/>
  <c r="EG6" i="13" s="1"/>
  <c r="EG61" i="13" l="1"/>
  <c r="EC61" i="13"/>
  <c r="EA6" i="13"/>
  <c r="EE61" i="13"/>
  <c r="EA61" i="13"/>
  <c r="EA44" i="13"/>
  <c r="EC44" i="13"/>
  <c r="EE44" i="13"/>
  <c r="EE6" i="13"/>
  <c r="EC6" i="13"/>
  <c r="DU23" i="4"/>
  <c r="DU27" i="4" s="1"/>
  <c r="DU32" i="4" s="1"/>
  <c r="EG44" i="13"/>
  <c r="DU45" i="4" l="1"/>
  <c r="AE61" i="13"/>
  <c r="AC61" i="13"/>
  <c r="AA61" i="13"/>
  <c r="AE44" i="13"/>
  <c r="AC44" i="13"/>
  <c r="AA44" i="13"/>
  <c r="DW60" i="13"/>
  <c r="DW59" i="13"/>
  <c r="DW58" i="13"/>
  <c r="DW57" i="13"/>
  <c r="DW56" i="13"/>
  <c r="DW55" i="13"/>
  <c r="DW54" i="13"/>
  <c r="DW52" i="13"/>
  <c r="DW51" i="13"/>
  <c r="DW50" i="13"/>
  <c r="DW49" i="13"/>
  <c r="DW48" i="13"/>
  <c r="DW43" i="13"/>
  <c r="DW42" i="13"/>
  <c r="DW41" i="13"/>
  <c r="DW40" i="13"/>
  <c r="DW38" i="13"/>
  <c r="DW37" i="13"/>
  <c r="DW30" i="13"/>
  <c r="DW31" i="13"/>
  <c r="DW32" i="13"/>
  <c r="DW33" i="13"/>
  <c r="DW34" i="13"/>
  <c r="DW35" i="13"/>
  <c r="DW29" i="13"/>
  <c r="DW27" i="13"/>
  <c r="DW26" i="13"/>
  <c r="DW21" i="13"/>
  <c r="DW20" i="13"/>
  <c r="DW19" i="13"/>
  <c r="DW18" i="13"/>
  <c r="DW17" i="13"/>
  <c r="DW16" i="13"/>
  <c r="DW15" i="13"/>
  <c r="DW14" i="13"/>
  <c r="DW13" i="13"/>
  <c r="DW12" i="13"/>
  <c r="DW11" i="13"/>
  <c r="DW10" i="13"/>
  <c r="DW9" i="13"/>
  <c r="DW8" i="13"/>
  <c r="DW7" i="13"/>
  <c r="DW6" i="13" l="1"/>
  <c r="Y39" i="13"/>
  <c r="DW39" i="13" s="1"/>
  <c r="AG61" i="13"/>
  <c r="Y6" i="13"/>
  <c r="AG44" i="13"/>
  <c r="Y28" i="13"/>
  <c r="DW28" i="13" s="1"/>
  <c r="DX71" i="2" l="1"/>
  <c r="DX70" i="2"/>
  <c r="DX25" i="2"/>
  <c r="DX24" i="2"/>
  <c r="DZ17" i="2"/>
  <c r="DZ72" i="2" s="1"/>
  <c r="DX10" i="2"/>
  <c r="DX9" i="2"/>
  <c r="DX5" i="2"/>
  <c r="DX4" i="2"/>
  <c r="DW19" i="4"/>
  <c r="DW18" i="4"/>
  <c r="DW13" i="4"/>
  <c r="DW12" i="4"/>
  <c r="DW11" i="4"/>
  <c r="DW9" i="4"/>
  <c r="T85" i="12"/>
  <c r="V85" i="12"/>
  <c r="X85" i="12"/>
  <c r="DY41" i="4"/>
  <c r="DW41" i="4"/>
  <c r="DY40" i="4"/>
  <c r="DW40" i="4"/>
  <c r="DY39" i="4"/>
  <c r="DW39" i="4"/>
  <c r="DY38" i="4"/>
  <c r="DW38" i="4"/>
  <c r="DY37" i="4"/>
  <c r="DW37" i="4"/>
  <c r="DY36" i="4"/>
  <c r="DW36" i="4"/>
  <c r="DY35" i="4"/>
  <c r="DW35" i="4"/>
  <c r="DY34" i="4"/>
  <c r="DW34" i="4"/>
  <c r="DY30" i="4"/>
  <c r="DW30" i="4"/>
  <c r="DY21" i="4"/>
  <c r="DY20" i="4"/>
  <c r="DY1" i="4"/>
  <c r="DW1" i="4"/>
  <c r="DU1" i="4"/>
  <c r="DS1" i="4"/>
  <c r="Y43" i="4"/>
  <c r="W43" i="4"/>
  <c r="U43" i="4"/>
  <c r="S43" i="4"/>
  <c r="S7" i="4"/>
  <c r="S16" i="4" s="1"/>
  <c r="S57" i="4" s="1"/>
  <c r="W7" i="4"/>
  <c r="W16" i="4" s="1"/>
  <c r="W57" i="4" s="1"/>
  <c r="U7" i="4"/>
  <c r="U16" i="4" s="1"/>
  <c r="U57" i="4" s="1"/>
  <c r="X69" i="12"/>
  <c r="T69" i="12"/>
  <c r="V69" i="12"/>
  <c r="V51" i="12"/>
  <c r="V55" i="12" s="1"/>
  <c r="T51" i="12"/>
  <c r="T55" i="12" s="1"/>
  <c r="X51" i="12"/>
  <c r="X55" i="12" s="1"/>
  <c r="X39" i="12"/>
  <c r="V39" i="12"/>
  <c r="T39" i="12"/>
  <c r="X21" i="12"/>
  <c r="T21" i="12"/>
  <c r="V21" i="12"/>
  <c r="FD51" i="10"/>
  <c r="FJ42" i="10"/>
  <c r="EZ28" i="10"/>
  <c r="EL28" i="10"/>
  <c r="DX28" i="10"/>
  <c r="FD46" i="10"/>
  <c r="FJ16" i="10"/>
  <c r="EH16" i="10"/>
  <c r="EH42" i="10"/>
  <c r="EP36" i="10"/>
  <c r="EB36" i="10"/>
  <c r="FD10" i="10"/>
  <c r="EP10" i="10"/>
  <c r="EB10" i="10"/>
  <c r="EP5" i="10"/>
  <c r="FD5" i="10"/>
  <c r="ED5" i="10"/>
  <c r="EB5" i="10"/>
  <c r="DY61" i="3"/>
  <c r="DY60" i="3"/>
  <c r="DY59" i="3"/>
  <c r="DY58" i="3"/>
  <c r="DY57" i="3"/>
  <c r="DY56" i="3"/>
  <c r="DY55" i="3"/>
  <c r="DY53" i="3"/>
  <c r="DY52" i="3"/>
  <c r="DY51" i="3"/>
  <c r="DY49" i="3"/>
  <c r="DY1" i="3"/>
  <c r="DW1" i="3"/>
  <c r="DU1" i="3"/>
  <c r="DS1" i="3"/>
  <c r="DZ53" i="2"/>
  <c r="DX53" i="2"/>
  <c r="DZ52" i="2"/>
  <c r="DX52" i="2"/>
  <c r="DZ51" i="2"/>
  <c r="DX51" i="2"/>
  <c r="DZ50" i="2"/>
  <c r="DX50" i="2"/>
  <c r="DZ49" i="2"/>
  <c r="DX49" i="2"/>
  <c r="DZ45" i="2"/>
  <c r="DX45" i="2"/>
  <c r="DZ44" i="2"/>
  <c r="DX44" i="2"/>
  <c r="DZ43" i="2"/>
  <c r="DX43" i="2"/>
  <c r="DZ42" i="2"/>
  <c r="DX42" i="2"/>
  <c r="DZ41" i="2"/>
  <c r="DX41" i="2"/>
  <c r="DZ40" i="2"/>
  <c r="DZ1" i="2"/>
  <c r="DX1" i="2"/>
  <c r="DV1" i="2"/>
  <c r="DT1" i="2"/>
  <c r="DZ71" i="2" l="1"/>
  <c r="DZ10" i="2"/>
  <c r="DZ24" i="2"/>
  <c r="DZ25" i="2"/>
  <c r="DZ9" i="2"/>
  <c r="DY43" i="4"/>
  <c r="DW43" i="4"/>
  <c r="DZ47" i="2"/>
  <c r="DX47" i="2"/>
  <c r="DZ55" i="2"/>
  <c r="T41" i="12"/>
  <c r="EB19" i="10"/>
  <c r="EB22" i="10" s="1"/>
  <c r="V41" i="12"/>
  <c r="DY12" i="4"/>
  <c r="DZ70" i="2"/>
  <c r="DX55" i="2"/>
  <c r="DZ5" i="2"/>
  <c r="DY11" i="4"/>
  <c r="DZ27" i="2"/>
  <c r="DX27" i="2"/>
  <c r="DY5" i="4"/>
  <c r="DW5" i="4"/>
  <c r="DZ14" i="2"/>
  <c r="DX14" i="2"/>
  <c r="DZ66" i="2"/>
  <c r="DX66" i="2"/>
  <c r="DZ12" i="2"/>
  <c r="DX12" i="2"/>
  <c r="DY25" i="4"/>
  <c r="DW25" i="4"/>
  <c r="DZ15" i="2"/>
  <c r="DX15" i="2"/>
  <c r="DZ68" i="2"/>
  <c r="DX68" i="2"/>
  <c r="DY14" i="4"/>
  <c r="DW14" i="4"/>
  <c r="DY10" i="4"/>
  <c r="DW10" i="4"/>
  <c r="DY56" i="4"/>
  <c r="DW56" i="4"/>
  <c r="DZ16" i="2"/>
  <c r="DX16" i="2"/>
  <c r="DZ69" i="2"/>
  <c r="DX69" i="2"/>
  <c r="DY4" i="4"/>
  <c r="DW4" i="4"/>
  <c r="Z72" i="2"/>
  <c r="DX72" i="2" s="1"/>
  <c r="DX17" i="2"/>
  <c r="DZ11" i="2"/>
  <c r="DX11" i="2"/>
  <c r="DZ26" i="2"/>
  <c r="DX26" i="2"/>
  <c r="EP19" i="10"/>
  <c r="EP22" i="10" s="1"/>
  <c r="AC45" i="3"/>
  <c r="FD19" i="10"/>
  <c r="FD22" i="10" s="1"/>
  <c r="Z69" i="12"/>
  <c r="Z85" i="12"/>
  <c r="AG45" i="3"/>
  <c r="AE45" i="3"/>
  <c r="AC6" i="3"/>
  <c r="Z21" i="12"/>
  <c r="Z51" i="12"/>
  <c r="Z55" i="12" s="1"/>
  <c r="DZ67" i="2"/>
  <c r="DX7" i="2"/>
  <c r="DZ4" i="2"/>
  <c r="DY19" i="4"/>
  <c r="DY18" i="4"/>
  <c r="DY13" i="4"/>
  <c r="DY9" i="4"/>
  <c r="Y7" i="4"/>
  <c r="Y16" i="4" s="1"/>
  <c r="Y57" i="4" s="1"/>
  <c r="Z39" i="12"/>
  <c r="S23" i="4"/>
  <c r="S5" i="13" s="1"/>
  <c r="U23" i="4"/>
  <c r="U5" i="13" s="1"/>
  <c r="W23" i="4"/>
  <c r="W5" i="13" s="1"/>
  <c r="T87" i="12"/>
  <c r="T89" i="12" s="1"/>
  <c r="X87" i="12"/>
  <c r="X89" i="12" s="1"/>
  <c r="X41" i="12"/>
  <c r="V87" i="12"/>
  <c r="V89" i="12" s="1"/>
  <c r="FD36" i="10"/>
  <c r="FD31" i="10"/>
  <c r="FF31" i="10"/>
  <c r="EP31" i="10"/>
  <c r="EP45" i="10" s="1"/>
  <c r="EP48" i="10" s="1"/>
  <c r="EB31" i="10"/>
  <c r="EB45" i="10" s="1"/>
  <c r="EB48" i="10" s="1"/>
  <c r="FF5" i="10"/>
  <c r="EV7" i="10"/>
  <c r="AC62" i="3"/>
  <c r="AG6" i="3"/>
  <c r="AE6" i="3"/>
  <c r="AG62" i="3"/>
  <c r="AE62" i="3"/>
  <c r="Z58" i="2"/>
  <c r="Z55" i="2"/>
  <c r="Z47" i="2"/>
  <c r="Z86" i="1"/>
  <c r="X86" i="1"/>
  <c r="V70" i="1"/>
  <c r="Z70" i="1"/>
  <c r="X70" i="1"/>
  <c r="X52" i="1"/>
  <c r="X56" i="1" s="1"/>
  <c r="V39" i="1"/>
  <c r="Z39" i="1"/>
  <c r="X39" i="1"/>
  <c r="X21" i="1"/>
  <c r="Z21" i="1"/>
  <c r="V21" i="1"/>
  <c r="AD70" i="1"/>
  <c r="T91" i="12" l="1"/>
  <c r="DX57" i="2"/>
  <c r="DZ57" i="2"/>
  <c r="DS5" i="13"/>
  <c r="DZ7" i="2"/>
  <c r="DU5" i="13"/>
  <c r="V91" i="12"/>
  <c r="DY7" i="4"/>
  <c r="S27" i="4"/>
  <c r="S32" i="4" s="1"/>
  <c r="U27" i="4"/>
  <c r="U32" i="4" s="1"/>
  <c r="DW7" i="4"/>
  <c r="Z87" i="12"/>
  <c r="Z89" i="12" s="1"/>
  <c r="X88" i="1"/>
  <c r="X90" i="1" s="1"/>
  <c r="W27" i="4"/>
  <c r="W32" i="4" s="1"/>
  <c r="X91" i="12"/>
  <c r="AB52" i="1"/>
  <c r="AB56" i="1" s="1"/>
  <c r="FD45" i="10"/>
  <c r="FD48" i="10" s="1"/>
  <c r="Y23" i="4"/>
  <c r="Y27" i="4" s="1"/>
  <c r="Y32" i="4" s="1"/>
  <c r="Z41" i="12"/>
  <c r="Z88" i="1"/>
  <c r="Z57" i="2"/>
  <c r="AD86" i="1"/>
  <c r="AD88" i="1" s="1"/>
  <c r="X7" i="2"/>
  <c r="AB21" i="1"/>
  <c r="T20" i="2"/>
  <c r="AB70" i="1"/>
  <c r="AB39" i="1"/>
  <c r="Z7" i="2"/>
  <c r="AB86" i="1"/>
  <c r="AH21" i="1"/>
  <c r="AH52" i="1"/>
  <c r="AH56" i="1" s="1"/>
  <c r="V20" i="2"/>
  <c r="AD39" i="1"/>
  <c r="X20" i="2"/>
  <c r="AH70" i="1"/>
  <c r="AF70" i="1"/>
  <c r="AH86" i="1"/>
  <c r="AF86" i="1"/>
  <c r="AD21" i="1"/>
  <c r="AF21" i="1"/>
  <c r="AF39" i="1"/>
  <c r="AH39" i="1"/>
  <c r="V41" i="1"/>
  <c r="Z41" i="1"/>
  <c r="X41" i="1"/>
  <c r="DZ73" i="2" l="1"/>
  <c r="DY16" i="4"/>
  <c r="DY57" i="4" s="1"/>
  <c r="U45" i="4"/>
  <c r="S45" i="4"/>
  <c r="DW16" i="4"/>
  <c r="X92" i="1"/>
  <c r="W45" i="4"/>
  <c r="Z91" i="12"/>
  <c r="AF88" i="1"/>
  <c r="AB41" i="1"/>
  <c r="Y5" i="13"/>
  <c r="DW5" i="13" s="1"/>
  <c r="AD41" i="1"/>
  <c r="AB88" i="1"/>
  <c r="AB90" i="1" s="1"/>
  <c r="AH41" i="1"/>
  <c r="Y45" i="4"/>
  <c r="X22" i="2"/>
  <c r="X29" i="2" s="1"/>
  <c r="AF41" i="1"/>
  <c r="AH88" i="1"/>
  <c r="AH90" i="1" s="1"/>
  <c r="DY23" i="4" l="1"/>
  <c r="DY27" i="4" s="1"/>
  <c r="DY32" i="4" s="1"/>
  <c r="DY45" i="4" s="1"/>
  <c r="DW23" i="4"/>
  <c r="DW27" i="4" s="1"/>
  <c r="DW32" i="4" s="1"/>
  <c r="DW45" i="4" s="1"/>
  <c r="DW57" i="4"/>
  <c r="X33" i="2"/>
  <c r="X38" i="2" s="1"/>
  <c r="W5" i="3"/>
  <c r="AH92" i="1"/>
  <c r="AB92" i="1"/>
  <c r="DY5" i="13"/>
  <c r="Y22" i="13"/>
  <c r="EB46" i="2"/>
  <c r="X59" i="2" l="1"/>
  <c r="AB47" i="2"/>
  <c r="AB57" i="2" s="1"/>
  <c r="EA54" i="3" l="1"/>
  <c r="EB53" i="2"/>
  <c r="EB52" i="2"/>
  <c r="EB51" i="2"/>
  <c r="EB50" i="2"/>
  <c r="EB49" i="2"/>
  <c r="EB45" i="2"/>
  <c r="EB44" i="2"/>
  <c r="EB43" i="2"/>
  <c r="EB42" i="2"/>
  <c r="EB41" i="2"/>
  <c r="EB36" i="2"/>
  <c r="EB55" i="2" l="1"/>
  <c r="EB47" i="2"/>
  <c r="EB57" i="2" l="1"/>
  <c r="EB9" i="2"/>
  <c r="AB71" i="2" l="1"/>
  <c r="AB72" i="2"/>
  <c r="AB20" i="2"/>
  <c r="AB7" i="2"/>
  <c r="AB73" i="2" l="1"/>
  <c r="AB22" i="2"/>
  <c r="AB29" i="2" s="1"/>
  <c r="AB33" i="2" l="1"/>
  <c r="AB38" i="2" s="1"/>
  <c r="AB59" i="2" s="1"/>
  <c r="AA5" i="3"/>
  <c r="AB75" i="2"/>
  <c r="EA41" i="4" l="1"/>
  <c r="EA40" i="4"/>
  <c r="EA39" i="4"/>
  <c r="EA38" i="4"/>
  <c r="EA37" i="4"/>
  <c r="EA36" i="4"/>
  <c r="EA35" i="4"/>
  <c r="EA34" i="4"/>
  <c r="EA30" i="4"/>
  <c r="AA43" i="4"/>
  <c r="AB39" i="12"/>
  <c r="EA43" i="4" l="1"/>
  <c r="AB69" i="12"/>
  <c r="AB21" i="12"/>
  <c r="AB41" i="12" s="1"/>
  <c r="AB85" i="12"/>
  <c r="AB51" i="12"/>
  <c r="AB55" i="12" s="1"/>
  <c r="AA7" i="4"/>
  <c r="AA16" i="4" s="1"/>
  <c r="AA57" i="4" s="1"/>
  <c r="AB87" i="12" l="1"/>
  <c r="AB89" i="12" s="1"/>
  <c r="AB91" i="12" s="1"/>
  <c r="AA23" i="4"/>
  <c r="AA5" i="13" s="1"/>
  <c r="AA22" i="13" l="1"/>
  <c r="AA63" i="13" s="1"/>
  <c r="AA27" i="4"/>
  <c r="AA32" i="4" s="1"/>
  <c r="AA45" i="4" l="1"/>
  <c r="FR46" i="10" l="1"/>
  <c r="FV43" i="10"/>
  <c r="FV42" i="10"/>
  <c r="FT41" i="10"/>
  <c r="FT38" i="10"/>
  <c r="FT37" i="10"/>
  <c r="FR43" i="10"/>
  <c r="FR42" i="10"/>
  <c r="FR41" i="10"/>
  <c r="FR40" i="10"/>
  <c r="FR39" i="10"/>
  <c r="FR38" i="10"/>
  <c r="FR37" i="10"/>
  <c r="FP43" i="10"/>
  <c r="FP42" i="10"/>
  <c r="FP41" i="10"/>
  <c r="FP40" i="10"/>
  <c r="FN43" i="10"/>
  <c r="FN42" i="10"/>
  <c r="FN41" i="10"/>
  <c r="FN40" i="10"/>
  <c r="FV33" i="10"/>
  <c r="FV32" i="10"/>
  <c r="FT34" i="10"/>
  <c r="FT33" i="10"/>
  <c r="FT32" i="10"/>
  <c r="FR34" i="10"/>
  <c r="FR33" i="10"/>
  <c r="FR32" i="10"/>
  <c r="FP34" i="10"/>
  <c r="FP33" i="10"/>
  <c r="FN34" i="10"/>
  <c r="EC54" i="3" l="1"/>
  <c r="EA59" i="3"/>
  <c r="EA61" i="3"/>
  <c r="EA60" i="3"/>
  <c r="EA58" i="3"/>
  <c r="EA57" i="3"/>
  <c r="EA53" i="3"/>
  <c r="EA51" i="3"/>
  <c r="EA49" i="3"/>
  <c r="EA44" i="3"/>
  <c r="EA41" i="3"/>
  <c r="EA39" i="3"/>
  <c r="EA36" i="3"/>
  <c r="EA35" i="3"/>
  <c r="EA34" i="3"/>
  <c r="EA33" i="3"/>
  <c r="EA32" i="3"/>
  <c r="EA31" i="3"/>
  <c r="EA30" i="3"/>
  <c r="EA29" i="3"/>
  <c r="EA28" i="3"/>
  <c r="EA27" i="3"/>
  <c r="EA21" i="3"/>
  <c r="EA20" i="3"/>
  <c r="EA13" i="3"/>
  <c r="EA12" i="3"/>
  <c r="EA11" i="3"/>
  <c r="EA10" i="3"/>
  <c r="EC55" i="3" l="1"/>
  <c r="EA55" i="3"/>
  <c r="EC41" i="4" l="1"/>
  <c r="EC40" i="4"/>
  <c r="EC39" i="4"/>
  <c r="EC38" i="4"/>
  <c r="EC37" i="4"/>
  <c r="EC36" i="4"/>
  <c r="EC35" i="4"/>
  <c r="EC34" i="4"/>
  <c r="EC30" i="4"/>
  <c r="EA56" i="4"/>
  <c r="AC43" i="4"/>
  <c r="EA25" i="4"/>
  <c r="EA21" i="4"/>
  <c r="EA20" i="4"/>
  <c r="EA19" i="4"/>
  <c r="EA18" i="4"/>
  <c r="EA14" i="4"/>
  <c r="EA13" i="4"/>
  <c r="EA12" i="4"/>
  <c r="EA11" i="4"/>
  <c r="EA10" i="4"/>
  <c r="EA9" i="4"/>
  <c r="EA5" i="4"/>
  <c r="EA4" i="4"/>
  <c r="EB70" i="2"/>
  <c r="EB69" i="2"/>
  <c r="EB67" i="2"/>
  <c r="EB66" i="2"/>
  <c r="EB31" i="2"/>
  <c r="EB27" i="2"/>
  <c r="EB26" i="2"/>
  <c r="EB25" i="2"/>
  <c r="EB24" i="2"/>
  <c r="EB18" i="2"/>
  <c r="EB15" i="2"/>
  <c r="EB14" i="2"/>
  <c r="EB13" i="2"/>
  <c r="EB12" i="2"/>
  <c r="EB10" i="2"/>
  <c r="EB5" i="2"/>
  <c r="EB4" i="2"/>
  <c r="ED53" i="2"/>
  <c r="ED52" i="2"/>
  <c r="ED51" i="2"/>
  <c r="ED50" i="2"/>
  <c r="ED49" i="2"/>
  <c r="ED45" i="2"/>
  <c r="ED44" i="2"/>
  <c r="ED43" i="2"/>
  <c r="ED42" i="2"/>
  <c r="ED41" i="2"/>
  <c r="ED36" i="2"/>
  <c r="ED47" i="2" l="1"/>
  <c r="ED55" i="2"/>
  <c r="EA7" i="4"/>
  <c r="EA16" i="4" s="1"/>
  <c r="EB7" i="2"/>
  <c r="AD72" i="2"/>
  <c r="EB72" i="2" s="1"/>
  <c r="EB17" i="2"/>
  <c r="AD71" i="2"/>
  <c r="EB71" i="2" s="1"/>
  <c r="EB16" i="2"/>
  <c r="EC43" i="4"/>
  <c r="AD7" i="2"/>
  <c r="AD69" i="12"/>
  <c r="AD85" i="12"/>
  <c r="AD39" i="12"/>
  <c r="AD21" i="12"/>
  <c r="AC7" i="4"/>
  <c r="AC16" i="4" s="1"/>
  <c r="AC23" i="4" s="1"/>
  <c r="AC5" i="13" s="1"/>
  <c r="EC59" i="3"/>
  <c r="EC61" i="3"/>
  <c r="EC60" i="3"/>
  <c r="EC58" i="3"/>
  <c r="EC57" i="3"/>
  <c r="EC56" i="3"/>
  <c r="EC53" i="3"/>
  <c r="EC52" i="3"/>
  <c r="EC51" i="3"/>
  <c r="EC50" i="3"/>
  <c r="EC49" i="3"/>
  <c r="EC44" i="3"/>
  <c r="EC43" i="3"/>
  <c r="EC42" i="3"/>
  <c r="EC41" i="3"/>
  <c r="EC40" i="3"/>
  <c r="EC39" i="3"/>
  <c r="EC38" i="3"/>
  <c r="EC36" i="3"/>
  <c r="EC35" i="3"/>
  <c r="EC34" i="3"/>
  <c r="EC33" i="3"/>
  <c r="EC32" i="3"/>
  <c r="EC31" i="3"/>
  <c r="EC30" i="3"/>
  <c r="EC29" i="3"/>
  <c r="EC28" i="3"/>
  <c r="EC27" i="3"/>
  <c r="EC20" i="3"/>
  <c r="AC22" i="13" l="1"/>
  <c r="AC63" i="13" s="1"/>
  <c r="EA5" i="13"/>
  <c r="EA22" i="13" s="1"/>
  <c r="EA63" i="13" s="1"/>
  <c r="ED57" i="2"/>
  <c r="EA23" i="4"/>
  <c r="EA27" i="4" s="1"/>
  <c r="EA32" i="4" s="1"/>
  <c r="EA57" i="4"/>
  <c r="EC45" i="3"/>
  <c r="AD87" i="12"/>
  <c r="AD41" i="12"/>
  <c r="EC62" i="3"/>
  <c r="AC57" i="4"/>
  <c r="AC27" i="4"/>
  <c r="AC32" i="4" s="1"/>
  <c r="EA45" i="4" l="1"/>
  <c r="AC45" i="4"/>
  <c r="EC22" i="3" l="1"/>
  <c r="EE21" i="3" l="1"/>
  <c r="EC21" i="3"/>
  <c r="EC16" i="3"/>
  <c r="EC17" i="3"/>
  <c r="EC18" i="3"/>
  <c r="GT51" i="10" l="1"/>
  <c r="GF46" i="10"/>
  <c r="GB46" i="10"/>
  <c r="GF43" i="10"/>
  <c r="GF41" i="10"/>
  <c r="GF40" i="10"/>
  <c r="GF39" i="10"/>
  <c r="GF38" i="10"/>
  <c r="GF37" i="10"/>
  <c r="GD43" i="10"/>
  <c r="GD41" i="10"/>
  <c r="GD40" i="10"/>
  <c r="GB43" i="10"/>
  <c r="GB41" i="10"/>
  <c r="GB40" i="10"/>
  <c r="GJ33" i="10"/>
  <c r="GJ32" i="10"/>
  <c r="GH33" i="10"/>
  <c r="GH32" i="10"/>
  <c r="GF34" i="10"/>
  <c r="GF33" i="10"/>
  <c r="GF32" i="10"/>
  <c r="GD34" i="10"/>
  <c r="GD33" i="10"/>
  <c r="GB34" i="10"/>
  <c r="GT42" i="10" l="1"/>
  <c r="GF42" i="10"/>
  <c r="GX42" i="10"/>
  <c r="GJ42" i="10"/>
  <c r="GR42" i="10"/>
  <c r="GD42" i="10"/>
  <c r="GP42" i="10"/>
  <c r="GB42" i="10"/>
  <c r="GH37" i="10"/>
  <c r="GH41" i="10" l="1"/>
  <c r="GH38" i="10"/>
  <c r="GH34" i="10" l="1"/>
  <c r="EE54" i="3" l="1"/>
  <c r="EC8" i="3" l="1"/>
  <c r="EC9" i="3"/>
  <c r="EC10" i="3"/>
  <c r="EC11" i="3"/>
  <c r="EC12" i="3"/>
  <c r="EC13" i="3"/>
  <c r="EC14" i="3"/>
  <c r="EC15" i="3"/>
  <c r="EC19" i="3"/>
  <c r="EC7" i="3" l="1"/>
  <c r="EC6" i="3" s="1"/>
  <c r="W61" i="13" l="1"/>
  <c r="W44" i="13"/>
  <c r="EE41" i="4" l="1"/>
  <c r="EE40" i="4"/>
  <c r="EE39" i="4"/>
  <c r="EE38" i="4"/>
  <c r="EE37" i="4"/>
  <c r="EE36" i="4"/>
  <c r="EE35" i="4"/>
  <c r="EE34" i="4"/>
  <c r="EC56" i="4"/>
  <c r="AE43" i="4"/>
  <c r="EC25" i="4"/>
  <c r="EC20" i="4"/>
  <c r="EC21" i="4"/>
  <c r="EC19" i="4"/>
  <c r="EC18" i="4"/>
  <c r="EC14" i="4"/>
  <c r="EC13" i="4"/>
  <c r="EC12" i="4"/>
  <c r="EC11" i="4"/>
  <c r="EC10" i="4"/>
  <c r="EC9" i="4"/>
  <c r="EC5" i="4"/>
  <c r="EC4" i="4"/>
  <c r="EF53" i="2"/>
  <c r="EF52" i="2"/>
  <c r="EF51" i="2"/>
  <c r="EF50" i="2"/>
  <c r="EF49" i="2"/>
  <c r="EF45" i="2"/>
  <c r="EF44" i="2"/>
  <c r="EF43" i="2"/>
  <c r="EF42" i="2"/>
  <c r="EF41" i="2"/>
  <c r="ED70" i="2"/>
  <c r="ED69" i="2"/>
  <c r="ED67" i="2"/>
  <c r="ED66" i="2"/>
  <c r="ED31" i="2"/>
  <c r="ED27" i="2"/>
  <c r="ED26" i="2"/>
  <c r="ED25" i="2"/>
  <c r="ED24" i="2"/>
  <c r="ED18" i="2"/>
  <c r="ED15" i="2"/>
  <c r="ED14" i="2"/>
  <c r="ED13" i="2"/>
  <c r="ED12" i="2"/>
  <c r="ED10" i="2"/>
  <c r="ED9" i="2"/>
  <c r="ED5" i="2"/>
  <c r="ED4" i="2"/>
  <c r="EE43" i="4" l="1"/>
  <c r="EF55" i="2"/>
  <c r="EC7" i="4"/>
  <c r="EC16" i="4" s="1"/>
  <c r="EF47" i="2"/>
  <c r="EF57" i="2" s="1"/>
  <c r="ED7" i="2"/>
  <c r="AF71" i="2"/>
  <c r="ED71" i="2" s="1"/>
  <c r="ED16" i="2"/>
  <c r="AF72" i="2"/>
  <c r="ED72" i="2" s="1"/>
  <c r="ED17" i="2"/>
  <c r="AF51" i="12"/>
  <c r="AF55" i="12" s="1"/>
  <c r="AE7" i="4"/>
  <c r="AE16" i="4" s="1"/>
  <c r="AE23" i="4" s="1"/>
  <c r="AE5" i="13" s="1"/>
  <c r="AF69" i="12"/>
  <c r="AF39" i="12"/>
  <c r="AF21" i="12"/>
  <c r="AF85" i="12"/>
  <c r="AF7" i="2"/>
  <c r="AF20" i="2"/>
  <c r="AF87" i="12" l="1"/>
  <c r="AF89" i="12" s="1"/>
  <c r="AE22" i="13"/>
  <c r="AE63" i="13" s="1"/>
  <c r="EC5" i="13"/>
  <c r="EC22" i="13" s="1"/>
  <c r="EC63" i="13" s="1"/>
  <c r="AF73" i="2"/>
  <c r="EC57" i="4"/>
  <c r="EC23" i="4"/>
  <c r="AF41" i="12"/>
  <c r="AE27" i="4"/>
  <c r="AE32" i="4" s="1"/>
  <c r="AE45" i="4" s="1"/>
  <c r="W22" i="13"/>
  <c r="W63" i="13" s="1"/>
  <c r="AE57" i="4"/>
  <c r="AF22" i="2"/>
  <c r="AF29" i="2" s="1"/>
  <c r="AE5" i="3" s="1"/>
  <c r="AE23" i="3" s="1"/>
  <c r="AE64" i="3" s="1"/>
  <c r="EC27" i="4" l="1"/>
  <c r="EC32" i="4" s="1"/>
  <c r="AF91" i="12"/>
  <c r="AF33" i="2"/>
  <c r="AF38" i="2" s="1"/>
  <c r="AF49" i="1" s="1"/>
  <c r="AF52" i="1" s="1"/>
  <c r="AF56" i="1" s="1"/>
  <c r="AF90" i="1" s="1"/>
  <c r="AF92" i="1" s="1"/>
  <c r="AF75" i="2"/>
  <c r="GT46" i="10"/>
  <c r="GP46" i="10"/>
  <c r="GV41" i="10"/>
  <c r="GV38" i="10"/>
  <c r="GV37" i="10"/>
  <c r="GT43" i="10"/>
  <c r="GT41" i="10"/>
  <c r="GT40" i="10"/>
  <c r="GT39" i="10"/>
  <c r="GT38" i="10"/>
  <c r="GT37" i="10"/>
  <c r="GR43" i="10"/>
  <c r="GR41" i="10"/>
  <c r="GR40" i="10"/>
  <c r="GP43" i="10"/>
  <c r="GP41" i="10"/>
  <c r="GP40" i="10"/>
  <c r="GX33" i="10"/>
  <c r="GX32" i="10"/>
  <c r="GV34" i="10"/>
  <c r="GV33" i="10"/>
  <c r="GV32" i="10"/>
  <c r="GT34" i="10"/>
  <c r="GT33" i="10"/>
  <c r="GT32" i="10"/>
  <c r="GR34" i="10"/>
  <c r="GR33" i="10"/>
  <c r="GP34" i="10"/>
  <c r="GP33" i="10"/>
  <c r="EC45" i="4" l="1"/>
  <c r="AF59" i="2"/>
  <c r="EG49" i="3"/>
  <c r="EE49" i="3"/>
  <c r="EG50" i="3"/>
  <c r="EE50" i="3"/>
  <c r="EG52" i="3"/>
  <c r="EE52" i="3"/>
  <c r="EG56" i="3"/>
  <c r="EE56" i="3"/>
  <c r="EE51" i="3"/>
  <c r="EE20" i="3"/>
  <c r="EE22" i="3"/>
  <c r="EG13" i="3" l="1"/>
  <c r="EE13" i="3"/>
  <c r="EG36" i="3"/>
  <c r="EE36" i="3"/>
  <c r="EG28" i="3"/>
  <c r="EE28" i="3"/>
  <c r="EG12" i="3"/>
  <c r="EE12" i="3"/>
  <c r="EG35" i="3"/>
  <c r="EE35" i="3"/>
  <c r="EG61" i="3"/>
  <c r="EE61" i="3"/>
  <c r="EG38" i="3"/>
  <c r="EE38" i="3"/>
  <c r="EG11" i="3"/>
  <c r="EE11" i="3"/>
  <c r="EG60" i="3"/>
  <c r="EE60" i="3"/>
  <c r="EG59" i="3"/>
  <c r="EE59" i="3"/>
  <c r="EG9" i="3"/>
  <c r="EE9" i="3"/>
  <c r="EG32" i="3"/>
  <c r="EE32" i="3"/>
  <c r="EG58" i="3"/>
  <c r="EE58" i="3"/>
  <c r="EG27" i="3"/>
  <c r="EE27" i="3"/>
  <c r="EG31" i="3"/>
  <c r="EE31" i="3"/>
  <c r="EG57" i="3"/>
  <c r="EE57" i="3"/>
  <c r="EG10" i="3"/>
  <c r="EE10" i="3"/>
  <c r="EG44" i="3"/>
  <c r="EE44" i="3"/>
  <c r="EG55" i="3"/>
  <c r="EE55" i="3"/>
  <c r="EG34" i="3"/>
  <c r="EE34" i="3"/>
  <c r="EG33" i="3"/>
  <c r="EE33" i="3"/>
  <c r="EG22" i="3"/>
  <c r="EG30" i="3"/>
  <c r="EE30" i="3"/>
  <c r="EG20" i="3"/>
  <c r="EG39" i="3"/>
  <c r="EE39" i="3"/>
  <c r="EG29" i="3"/>
  <c r="EE29" i="3"/>
  <c r="EG53" i="3"/>
  <c r="EE53" i="3"/>
  <c r="EG51" i="3"/>
  <c r="EE62" i="3" l="1"/>
  <c r="EG62" i="3"/>
  <c r="EG41" i="3" l="1"/>
  <c r="EE41" i="3"/>
  <c r="EG18" i="3" l="1"/>
  <c r="EE18" i="3"/>
  <c r="EG43" i="3"/>
  <c r="EE43" i="3"/>
  <c r="EG14" i="3"/>
  <c r="EE14" i="3"/>
  <c r="EG17" i="3"/>
  <c r="EE17" i="3"/>
  <c r="EG16" i="3"/>
  <c r="EE16" i="3"/>
  <c r="EG15" i="3"/>
  <c r="EE15" i="3"/>
  <c r="EG8" i="3" l="1"/>
  <c r="EE8" i="3"/>
  <c r="EE40" i="3"/>
  <c r="EE45" i="3" s="1"/>
  <c r="EG42" i="3" l="1"/>
  <c r="EE42" i="3"/>
  <c r="EG7" i="3"/>
  <c r="EE7" i="3"/>
  <c r="EG40" i="3"/>
  <c r="EG45" i="3" s="1"/>
  <c r="EE19" i="3"/>
  <c r="EE6" i="3" l="1"/>
  <c r="EG19" i="3"/>
  <c r="EG6" i="3" s="1"/>
  <c r="DY16" i="13" l="1"/>
  <c r="DY37" i="13"/>
  <c r="DY49" i="13"/>
  <c r="DY58" i="13"/>
  <c r="DY26" i="13"/>
  <c r="DY27" i="13"/>
  <c r="DY8" i="13"/>
  <c r="DY28" i="13"/>
  <c r="DY9" i="13"/>
  <c r="DY17" i="13"/>
  <c r="DY29" i="13"/>
  <c r="DY38" i="13"/>
  <c r="DY50" i="13"/>
  <c r="DY59" i="13"/>
  <c r="DY56" i="13"/>
  <c r="DY35" i="13"/>
  <c r="DY18" i="13"/>
  <c r="DY30" i="13"/>
  <c r="DY39" i="13"/>
  <c r="DY51" i="13"/>
  <c r="DY60" i="13"/>
  <c r="DY43" i="13"/>
  <c r="DY48" i="13"/>
  <c r="DY19" i="13"/>
  <c r="DY31" i="13"/>
  <c r="DY40" i="13"/>
  <c r="DY52" i="13"/>
  <c r="DY34" i="13"/>
  <c r="DY15" i="13"/>
  <c r="DY10" i="13"/>
  <c r="DY20" i="13"/>
  <c r="DY32" i="13"/>
  <c r="DY41" i="13"/>
  <c r="DY54" i="13"/>
  <c r="DY14" i="13"/>
  <c r="DY57" i="13"/>
  <c r="DY11" i="13"/>
  <c r="DY12" i="13"/>
  <c r="DY13" i="13"/>
  <c r="DY21" i="13"/>
  <c r="DY33" i="13"/>
  <c r="DY42" i="13"/>
  <c r="DY55" i="13"/>
  <c r="Y44" i="13"/>
  <c r="Y61" i="13"/>
  <c r="DY7" i="13"/>
  <c r="EG41" i="4"/>
  <c r="EG40" i="4"/>
  <c r="EG39" i="4"/>
  <c r="EG38" i="4"/>
  <c r="EG37" i="4"/>
  <c r="EG36" i="4"/>
  <c r="EG35" i="4"/>
  <c r="EG34" i="4"/>
  <c r="DY61" i="13" l="1"/>
  <c r="EG43" i="4"/>
  <c r="DY44" i="13"/>
  <c r="DW61" i="13"/>
  <c r="DY6" i="13"/>
  <c r="DW44" i="13"/>
  <c r="AG43" i="4"/>
  <c r="EH53" i="2"/>
  <c r="EH52" i="2"/>
  <c r="EH51" i="2"/>
  <c r="EH50" i="2"/>
  <c r="EH49" i="2"/>
  <c r="EH45" i="2"/>
  <c r="EH44" i="2"/>
  <c r="EH43" i="2"/>
  <c r="EH42" i="2"/>
  <c r="EH41" i="2"/>
  <c r="EH40" i="2"/>
  <c r="AH58" i="2"/>
  <c r="AH55" i="2"/>
  <c r="AH47" i="2"/>
  <c r="EF36" i="2"/>
  <c r="EF11" i="2"/>
  <c r="AH57" i="2" l="1"/>
  <c r="EH47" i="2"/>
  <c r="EH55" i="2"/>
  <c r="EG11" i="4"/>
  <c r="EE11" i="4"/>
  <c r="EG25" i="4"/>
  <c r="EE25" i="4"/>
  <c r="EH12" i="2"/>
  <c r="EF12" i="2"/>
  <c r="EH25" i="2"/>
  <c r="EF25" i="2"/>
  <c r="EG12" i="4"/>
  <c r="EE12" i="4"/>
  <c r="EG30" i="4"/>
  <c r="EE30" i="4"/>
  <c r="EH24" i="2"/>
  <c r="EF24" i="2"/>
  <c r="EH14" i="2"/>
  <c r="EF14" i="2"/>
  <c r="EH27" i="2"/>
  <c r="EF27" i="2"/>
  <c r="EH67" i="2"/>
  <c r="EF67" i="2"/>
  <c r="EG14" i="4"/>
  <c r="EE14" i="4"/>
  <c r="EH66" i="2"/>
  <c r="EF66" i="2"/>
  <c r="EH4" i="2"/>
  <c r="EF4" i="2"/>
  <c r="EH15" i="2"/>
  <c r="EF15" i="2"/>
  <c r="EH31" i="2"/>
  <c r="EF31" i="2"/>
  <c r="EH68" i="2"/>
  <c r="EF68" i="2"/>
  <c r="EG4" i="4"/>
  <c r="EE4" i="4"/>
  <c r="EG18" i="4"/>
  <c r="EE18" i="4"/>
  <c r="EG56" i="4"/>
  <c r="EE56" i="4"/>
  <c r="EH13" i="2"/>
  <c r="EF13" i="2"/>
  <c r="EH5" i="2"/>
  <c r="EF5" i="2"/>
  <c r="EH16" i="2"/>
  <c r="EF16" i="2"/>
  <c r="EH69" i="2"/>
  <c r="EF69" i="2"/>
  <c r="EG5" i="4"/>
  <c r="EE5" i="4"/>
  <c r="EG19" i="4"/>
  <c r="EE19" i="4"/>
  <c r="EG13" i="4"/>
  <c r="EE13" i="4"/>
  <c r="EH9" i="2"/>
  <c r="EF9" i="2"/>
  <c r="AH72" i="2"/>
  <c r="EF72" i="2" s="1"/>
  <c r="EF17" i="2"/>
  <c r="EH70" i="2"/>
  <c r="EF70" i="2"/>
  <c r="EG9" i="4"/>
  <c r="EE9" i="4"/>
  <c r="EG20" i="4"/>
  <c r="EE20" i="4"/>
  <c r="EH26" i="2"/>
  <c r="EF26" i="2"/>
  <c r="EH10" i="2"/>
  <c r="EF10" i="2"/>
  <c r="EH18" i="2"/>
  <c r="EF18" i="2"/>
  <c r="EH71" i="2"/>
  <c r="EF71" i="2"/>
  <c r="EG10" i="4"/>
  <c r="EE10" i="4"/>
  <c r="EG21" i="4"/>
  <c r="EE21" i="4"/>
  <c r="AH21" i="12"/>
  <c r="AH85" i="12"/>
  <c r="AH51" i="12"/>
  <c r="AH55" i="12" s="1"/>
  <c r="AH69" i="12"/>
  <c r="AH7" i="2"/>
  <c r="EH17" i="2"/>
  <c r="EH72" i="2" s="1"/>
  <c r="AH39" i="12"/>
  <c r="AH20" i="2"/>
  <c r="EH11" i="2"/>
  <c r="AG7" i="4"/>
  <c r="AG16" i="4" s="1"/>
  <c r="EG7" i="4" l="1"/>
  <c r="EG16" i="4" s="1"/>
  <c r="EG23" i="4" s="1"/>
  <c r="EG27" i="4" s="1"/>
  <c r="EG32" i="4" s="1"/>
  <c r="EG45" i="4" s="1"/>
  <c r="AH41" i="12"/>
  <c r="EH20" i="2"/>
  <c r="EH57" i="2"/>
  <c r="AH73" i="2"/>
  <c r="EF20" i="2"/>
  <c r="EE7" i="4"/>
  <c r="EF7" i="2"/>
  <c r="AH87" i="12"/>
  <c r="AH89" i="12" s="1"/>
  <c r="EH7" i="2"/>
  <c r="AG57" i="4"/>
  <c r="AG23" i="4"/>
  <c r="AH22" i="2"/>
  <c r="AH29" i="2" s="1"/>
  <c r="AG5" i="3" s="1"/>
  <c r="AG23" i="3" s="1"/>
  <c r="AG64" i="3" s="1"/>
  <c r="HH51" i="10"/>
  <c r="HF46" i="10"/>
  <c r="HD46" i="10"/>
  <c r="HL42" i="10"/>
  <c r="HJ42" i="10"/>
  <c r="HH42" i="10"/>
  <c r="HF42" i="10"/>
  <c r="HD42" i="10"/>
  <c r="HF41" i="10"/>
  <c r="HD41" i="10"/>
  <c r="HF40" i="10"/>
  <c r="HD40" i="10"/>
  <c r="HF39" i="10"/>
  <c r="HD39" i="10"/>
  <c r="HF38" i="10"/>
  <c r="HD38" i="10"/>
  <c r="HF37" i="10"/>
  <c r="HD37" i="10"/>
  <c r="GF36" i="10"/>
  <c r="FR36" i="10"/>
  <c r="HH34" i="10"/>
  <c r="HF34" i="10"/>
  <c r="HD34" i="10"/>
  <c r="HD33" i="10"/>
  <c r="GZ33" i="10"/>
  <c r="HH32" i="10"/>
  <c r="HF32" i="10"/>
  <c r="HD32" i="10"/>
  <c r="FT31" i="10"/>
  <c r="FR31" i="10"/>
  <c r="HD28" i="10"/>
  <c r="GP28" i="10"/>
  <c r="GB28" i="10"/>
  <c r="FN28" i="10"/>
  <c r="HL46" i="10"/>
  <c r="HJ46" i="10"/>
  <c r="HH46" i="10"/>
  <c r="HN20" i="10"/>
  <c r="HL43" i="10"/>
  <c r="HJ43" i="10"/>
  <c r="HH43" i="10"/>
  <c r="HF43" i="10"/>
  <c r="HN17" i="10"/>
  <c r="HN16" i="10"/>
  <c r="HN15" i="10"/>
  <c r="HL41" i="10"/>
  <c r="HJ41" i="10"/>
  <c r="HH41" i="10"/>
  <c r="HN14" i="10"/>
  <c r="HL40" i="10"/>
  <c r="HJ40" i="10"/>
  <c r="HH40" i="10"/>
  <c r="HN13" i="10"/>
  <c r="HL39" i="10"/>
  <c r="HJ39" i="10"/>
  <c r="HH39" i="10"/>
  <c r="HN12" i="10"/>
  <c r="HL38" i="10"/>
  <c r="HJ38" i="10"/>
  <c r="HH38" i="10"/>
  <c r="HN11" i="10"/>
  <c r="HL37" i="10"/>
  <c r="HJ37" i="10"/>
  <c r="HH37" i="10"/>
  <c r="HF10" i="10"/>
  <c r="HD10" i="10"/>
  <c r="GF10" i="10"/>
  <c r="FR10" i="10"/>
  <c r="HN8" i="10"/>
  <c r="HL34" i="10"/>
  <c r="HJ34" i="10"/>
  <c r="HN7" i="10"/>
  <c r="HL33" i="10"/>
  <c r="HJ33" i="10"/>
  <c r="HH33" i="10"/>
  <c r="HF33" i="10"/>
  <c r="GZ7" i="10"/>
  <c r="HN6" i="10"/>
  <c r="HL32" i="10"/>
  <c r="HJ32" i="10"/>
  <c r="HH5" i="10"/>
  <c r="GT31" i="10"/>
  <c r="GF5" i="10"/>
  <c r="FT5" i="10"/>
  <c r="HJ5" i="10"/>
  <c r="HF5" i="10"/>
  <c r="HD5" i="10"/>
  <c r="GH5" i="10"/>
  <c r="FR5" i="10"/>
  <c r="DY1" i="13"/>
  <c r="DW1" i="13"/>
  <c r="DU1" i="13"/>
  <c r="DS1" i="13"/>
  <c r="EG1" i="4"/>
  <c r="EE1" i="4"/>
  <c r="EC1" i="4"/>
  <c r="EA1" i="4"/>
  <c r="EG1" i="3"/>
  <c r="EE1" i="3"/>
  <c r="EC1" i="3"/>
  <c r="EA1" i="3"/>
  <c r="EH1" i="2"/>
  <c r="EF1" i="2"/>
  <c r="ED1" i="2"/>
  <c r="EB1" i="2"/>
  <c r="EJ53" i="2"/>
  <c r="EJ52" i="2"/>
  <c r="EJ51" i="2"/>
  <c r="EJ50" i="2"/>
  <c r="EJ49" i="2"/>
  <c r="EJ45" i="2"/>
  <c r="EJ44" i="2"/>
  <c r="EJ43" i="2"/>
  <c r="EJ42" i="2"/>
  <c r="EJ41" i="2"/>
  <c r="EJ40" i="2"/>
  <c r="AH91" i="12" l="1"/>
  <c r="AG5" i="13"/>
  <c r="EG57" i="4"/>
  <c r="EH22" i="2"/>
  <c r="EH29" i="2" s="1"/>
  <c r="EH33" i="2" s="1"/>
  <c r="EH38" i="2" s="1"/>
  <c r="FR19" i="10"/>
  <c r="FR22" i="10" s="1"/>
  <c r="AH75" i="2"/>
  <c r="EH73" i="2"/>
  <c r="EF22" i="2"/>
  <c r="EF29" i="2" s="1"/>
  <c r="EF73" i="2"/>
  <c r="EE16" i="4"/>
  <c r="HJ31" i="10"/>
  <c r="IB20" i="10"/>
  <c r="HN42" i="10"/>
  <c r="HF19" i="10"/>
  <c r="HF22" i="10" s="1"/>
  <c r="HF24" i="10" s="1"/>
  <c r="HF51" i="10" s="1"/>
  <c r="HD19" i="10"/>
  <c r="HD22" i="10" s="1"/>
  <c r="HD24" i="10" s="1"/>
  <c r="HD51" i="10" s="1"/>
  <c r="HH31" i="10"/>
  <c r="HF31" i="10"/>
  <c r="AH33" i="2"/>
  <c r="AH38" i="2" s="1"/>
  <c r="AG27" i="4"/>
  <c r="AG32" i="4" s="1"/>
  <c r="HN46" i="10"/>
  <c r="HN39" i="10"/>
  <c r="HJ36" i="10"/>
  <c r="HN37" i="10"/>
  <c r="HH36" i="10"/>
  <c r="HN40" i="10"/>
  <c r="HF36" i="10"/>
  <c r="HN41" i="10"/>
  <c r="HL36" i="10"/>
  <c r="HN38" i="10"/>
  <c r="HN34" i="10"/>
  <c r="HN32" i="10"/>
  <c r="HL31" i="10"/>
  <c r="HN33" i="10"/>
  <c r="GF19" i="10"/>
  <c r="GF22" i="10" s="1"/>
  <c r="FR45" i="10"/>
  <c r="HD43" i="10"/>
  <c r="HN43" i="10" s="1"/>
  <c r="HL5" i="10"/>
  <c r="HH10" i="10"/>
  <c r="HH19" i="10" s="1"/>
  <c r="HH22" i="10" s="1"/>
  <c r="GT36" i="10"/>
  <c r="GT45" i="10" s="1"/>
  <c r="GT48" i="10" s="1"/>
  <c r="HD31" i="10"/>
  <c r="HL10" i="10"/>
  <c r="GV31" i="10"/>
  <c r="GH31" i="10"/>
  <c r="GV5" i="10"/>
  <c r="HJ10" i="10"/>
  <c r="HJ19" i="10" s="1"/>
  <c r="HJ22" i="10" s="1"/>
  <c r="HJ24" i="10" s="1"/>
  <c r="GT10" i="10"/>
  <c r="GT5" i="10"/>
  <c r="GF31" i="10"/>
  <c r="GF45" i="10" s="1"/>
  <c r="GF48" i="10" s="1"/>
  <c r="EH75" i="2" l="1"/>
  <c r="EG5" i="13"/>
  <c r="EG22" i="13" s="1"/>
  <c r="EG63" i="13" s="1"/>
  <c r="EE5" i="13"/>
  <c r="EE22" i="13" s="1"/>
  <c r="EE63" i="13" s="1"/>
  <c r="AG22" i="13"/>
  <c r="AG63" i="13" s="1"/>
  <c r="EG5" i="3"/>
  <c r="EG23" i="3" s="1"/>
  <c r="EG64" i="3" s="1"/>
  <c r="DY22" i="13"/>
  <c r="DY63" i="13" s="1"/>
  <c r="HF45" i="10"/>
  <c r="HF48" i="10" s="1"/>
  <c r="EF33" i="2"/>
  <c r="EF38" i="2" s="1"/>
  <c r="EF59" i="2" s="1"/>
  <c r="EF75" i="2"/>
  <c r="GT19" i="10"/>
  <c r="GT22" i="10" s="1"/>
  <c r="EE5" i="3"/>
  <c r="AH59" i="2"/>
  <c r="EE57" i="4"/>
  <c r="EE23" i="4"/>
  <c r="HJ51" i="10"/>
  <c r="EH59" i="2"/>
  <c r="AG45" i="4"/>
  <c r="HH45" i="10"/>
  <c r="HH48" i="10" s="1"/>
  <c r="HJ45" i="10"/>
  <c r="HJ48" i="10" s="1"/>
  <c r="HL45" i="10"/>
  <c r="HL48" i="10" s="1"/>
  <c r="HD36" i="10"/>
  <c r="HN36" i="10" s="1"/>
  <c r="Y63" i="13"/>
  <c r="HL19" i="10"/>
  <c r="HL22" i="10" s="1"/>
  <c r="HL24" i="10" s="1"/>
  <c r="HL51" i="10" s="1"/>
  <c r="HN10" i="10"/>
  <c r="HN5" i="10"/>
  <c r="FR48" i="10"/>
  <c r="HN31" i="10"/>
  <c r="IB6" i="10"/>
  <c r="HN51" i="10" l="1"/>
  <c r="EE23" i="3"/>
  <c r="EE64" i="3" s="1"/>
  <c r="EE27" i="4"/>
  <c r="EE32" i="4" s="1"/>
  <c r="HD45" i="10"/>
  <c r="HD48" i="10" s="1"/>
  <c r="HN45" i="10"/>
  <c r="HN48" i="10" s="1"/>
  <c r="HN19" i="10"/>
  <c r="HN22" i="10" s="1"/>
  <c r="HN24" i="10"/>
  <c r="EE45" i="4" l="1"/>
  <c r="DW22" i="13"/>
  <c r="DW63" i="13" s="1"/>
  <c r="AJ72" i="2" l="1"/>
  <c r="EI35" i="3" l="1"/>
  <c r="EI36" i="3"/>
  <c r="EI38" i="3"/>
  <c r="EI39" i="3"/>
  <c r="EI42" i="3"/>
  <c r="EI43" i="3"/>
  <c r="EI44" i="3"/>
  <c r="EI50" i="3"/>
  <c r="EI53" i="3"/>
  <c r="EI55" i="3"/>
  <c r="EI56" i="3"/>
  <c r="EI57" i="3"/>
  <c r="EI58" i="3"/>
  <c r="EI59" i="3"/>
  <c r="EI61" i="3"/>
  <c r="AK62" i="3" l="1"/>
  <c r="EI60" i="3"/>
  <c r="AI40" i="3"/>
  <c r="EI40" i="3" s="1"/>
  <c r="EI41" i="3"/>
  <c r="EI51" i="3"/>
  <c r="EI52" i="3"/>
  <c r="AI28" i="13" l="1"/>
  <c r="AI39" i="13" l="1"/>
  <c r="AI6" i="13" l="1"/>
  <c r="AI44" i="13" l="1"/>
  <c r="AI61" i="13" l="1"/>
  <c r="EJ55" i="2"/>
  <c r="EJ47" i="2"/>
  <c r="EJ71" i="2"/>
  <c r="AJ58" i="2"/>
  <c r="AJ55" i="2"/>
  <c r="AJ47" i="2"/>
  <c r="EJ36" i="2"/>
  <c r="EI41" i="4"/>
  <c r="EI40" i="4"/>
  <c r="EI39" i="4"/>
  <c r="EI38" i="4"/>
  <c r="EI37" i="4"/>
  <c r="EI36" i="4"/>
  <c r="EI35" i="4"/>
  <c r="EI34" i="4"/>
  <c r="EI30" i="4"/>
  <c r="AI43" i="4"/>
  <c r="IJ51" i="10"/>
  <c r="IN42" i="10"/>
  <c r="IL42" i="10"/>
  <c r="IJ42" i="10"/>
  <c r="IH42" i="10"/>
  <c r="IF42" i="10"/>
  <c r="HZ38" i="10"/>
  <c r="EI34" i="3"/>
  <c r="EI31" i="3"/>
  <c r="EI30" i="3"/>
  <c r="EI28" i="3"/>
  <c r="EI22" i="3"/>
  <c r="EI20" i="3"/>
  <c r="EI19" i="3"/>
  <c r="EI18" i="3"/>
  <c r="EI17" i="3"/>
  <c r="EI16" i="3"/>
  <c r="EI15" i="3"/>
  <c r="EI14" i="3"/>
  <c r="EI12" i="3"/>
  <c r="EI11" i="3"/>
  <c r="EI9" i="3"/>
  <c r="EI8" i="3"/>
  <c r="EI7" i="3"/>
  <c r="EI56" i="4"/>
  <c r="EK41" i="4"/>
  <c r="EK40" i="4"/>
  <c r="EK39" i="4"/>
  <c r="EK38" i="4"/>
  <c r="EK37" i="4"/>
  <c r="EK36" i="4"/>
  <c r="EK35" i="4"/>
  <c r="EK34" i="4"/>
  <c r="EK30" i="4"/>
  <c r="AK43" i="4"/>
  <c r="EI25" i="4"/>
  <c r="EI21" i="4"/>
  <c r="EI20" i="4"/>
  <c r="EI19" i="4"/>
  <c r="EI18" i="4"/>
  <c r="EI14" i="4"/>
  <c r="EI13" i="4"/>
  <c r="EI12" i="4"/>
  <c r="EI11" i="4"/>
  <c r="EI10" i="4"/>
  <c r="EI9" i="4"/>
  <c r="EI5" i="4"/>
  <c r="EI4" i="4"/>
  <c r="EL71" i="2"/>
  <c r="EL55" i="2"/>
  <c r="EL47" i="2"/>
  <c r="EL36" i="2"/>
  <c r="EJ70" i="2"/>
  <c r="EJ69" i="2"/>
  <c r="EJ68" i="2"/>
  <c r="EJ66" i="2"/>
  <c r="EJ26" i="2"/>
  <c r="EJ25" i="2"/>
  <c r="EJ24" i="2"/>
  <c r="EJ18" i="2"/>
  <c r="AL72" i="2"/>
  <c r="EJ72" i="2" s="1"/>
  <c r="EJ16" i="2"/>
  <c r="EJ15" i="2"/>
  <c r="EJ14" i="2"/>
  <c r="EJ13" i="2"/>
  <c r="EJ12" i="2"/>
  <c r="EJ11" i="2"/>
  <c r="EJ10" i="2"/>
  <c r="EJ9" i="2"/>
  <c r="AL58" i="2"/>
  <c r="AL55" i="2"/>
  <c r="AL47" i="2"/>
  <c r="EJ5" i="2"/>
  <c r="EI33" i="13" l="1"/>
  <c r="EI21" i="13"/>
  <c r="EI34" i="13"/>
  <c r="EI56" i="13"/>
  <c r="EI13" i="13"/>
  <c r="EI8" i="13"/>
  <c r="EI26" i="13"/>
  <c r="EI38" i="13"/>
  <c r="EI57" i="13"/>
  <c r="EI54" i="13"/>
  <c r="EI9" i="13"/>
  <c r="EI27" i="13"/>
  <c r="EI40" i="13"/>
  <c r="EI58" i="13"/>
  <c r="EI32" i="13"/>
  <c r="EI10" i="13"/>
  <c r="EI29" i="13"/>
  <c r="EI43" i="13"/>
  <c r="EI59" i="13"/>
  <c r="EI52" i="13"/>
  <c r="EI11" i="13"/>
  <c r="EI30" i="13"/>
  <c r="EI48" i="13"/>
  <c r="EI20" i="13"/>
  <c r="EI12" i="13"/>
  <c r="EI31" i="13"/>
  <c r="EI50" i="13"/>
  <c r="IP42" i="10"/>
  <c r="AK7" i="4"/>
  <c r="AK16" i="4" s="1"/>
  <c r="EK43" i="4"/>
  <c r="AJ57" i="2"/>
  <c r="AL85" i="12"/>
  <c r="EI27" i="3"/>
  <c r="AK45" i="3"/>
  <c r="AL7" i="2"/>
  <c r="EL57" i="2"/>
  <c r="EJ27" i="2"/>
  <c r="EJ57" i="2"/>
  <c r="EI43" i="4"/>
  <c r="AJ69" i="12"/>
  <c r="AJ51" i="12"/>
  <c r="AJ55" i="12" s="1"/>
  <c r="AJ21" i="12"/>
  <c r="AJ86" i="1"/>
  <c r="AJ21" i="1"/>
  <c r="AJ52" i="1"/>
  <c r="AJ56" i="1" s="1"/>
  <c r="AJ85" i="12"/>
  <c r="AJ7" i="2"/>
  <c r="AJ73" i="2" s="1"/>
  <c r="EI7" i="4"/>
  <c r="AI7" i="4"/>
  <c r="AI16" i="4" s="1"/>
  <c r="EJ4" i="2"/>
  <c r="EJ17" i="2"/>
  <c r="EJ20" i="2" s="1"/>
  <c r="AJ20" i="2"/>
  <c r="AJ70" i="1"/>
  <c r="AJ39" i="1"/>
  <c r="AJ39" i="12"/>
  <c r="AL21" i="12"/>
  <c r="AL21" i="1"/>
  <c r="AL86" i="1"/>
  <c r="AL52" i="1"/>
  <c r="AL56" i="1" s="1"/>
  <c r="AL51" i="12"/>
  <c r="AL55" i="12" s="1"/>
  <c r="AL20" i="2"/>
  <c r="AL69" i="12"/>
  <c r="AL39" i="1"/>
  <c r="AL39" i="12"/>
  <c r="AL70" i="1"/>
  <c r="AL22" i="2" l="1"/>
  <c r="AL29" i="2" s="1"/>
  <c r="AK5" i="3" s="1"/>
  <c r="EJ7" i="2"/>
  <c r="AL87" i="12"/>
  <c r="AL89" i="12" s="1"/>
  <c r="AL41" i="12"/>
  <c r="AL41" i="1"/>
  <c r="AJ41" i="12"/>
  <c r="AJ88" i="1"/>
  <c r="AJ90" i="1" s="1"/>
  <c r="AJ87" i="12"/>
  <c r="AJ89" i="12" s="1"/>
  <c r="AJ41" i="1"/>
  <c r="AJ22" i="2"/>
  <c r="AJ29" i="2" s="1"/>
  <c r="AI57" i="4"/>
  <c r="AI23" i="4"/>
  <c r="EI16" i="4"/>
  <c r="EI23" i="4" s="1"/>
  <c r="AL88" i="1"/>
  <c r="AL90" i="1" s="1"/>
  <c r="AK23" i="4"/>
  <c r="AK57" i="4"/>
  <c r="EJ22" i="2" l="1"/>
  <c r="EJ29" i="2" s="1"/>
  <c r="AL91" i="12"/>
  <c r="EI57" i="4"/>
  <c r="AL92" i="1"/>
  <c r="EI27" i="4"/>
  <c r="EI32" i="4" s="1"/>
  <c r="EI45" i="4" s="1"/>
  <c r="AL73" i="2"/>
  <c r="AL75" i="2" s="1"/>
  <c r="EJ67" i="2"/>
  <c r="EJ73" i="2" s="1"/>
  <c r="AJ91" i="12"/>
  <c r="AJ92" i="1"/>
  <c r="AJ33" i="2"/>
  <c r="AJ38" i="2" s="1"/>
  <c r="AJ59" i="2" s="1"/>
  <c r="AI5" i="3"/>
  <c r="EI5" i="3" s="1"/>
  <c r="AJ75" i="2"/>
  <c r="AI27" i="4"/>
  <c r="AI32" i="4" s="1"/>
  <c r="AI45" i="4" s="1"/>
  <c r="AI5" i="13"/>
  <c r="AK27" i="4"/>
  <c r="AK32" i="4" s="1"/>
  <c r="AK45" i="4" s="1"/>
  <c r="AK5" i="13"/>
  <c r="EJ75" i="2" l="1"/>
  <c r="EI5" i="13"/>
  <c r="AL33" i="2"/>
  <c r="AL38" i="2" s="1"/>
  <c r="AL59" i="2" s="1"/>
  <c r="EJ31" i="2"/>
  <c r="EJ33" i="2" s="1"/>
  <c r="EJ38" i="2" s="1"/>
  <c r="AI22" i="13"/>
  <c r="AI63" i="13" s="1"/>
  <c r="EJ59" i="2" l="1"/>
  <c r="EK61" i="3"/>
  <c r="EK60" i="3"/>
  <c r="EK59" i="3"/>
  <c r="EK58" i="3"/>
  <c r="EK57" i="3"/>
  <c r="EK56" i="3"/>
  <c r="EK55" i="3"/>
  <c r="EK53" i="3"/>
  <c r="EK51" i="3"/>
  <c r="EK50" i="3"/>
  <c r="EK49" i="3"/>
  <c r="EK44" i="3"/>
  <c r="EK43" i="3"/>
  <c r="EK42" i="3"/>
  <c r="EK41" i="3"/>
  <c r="EK40" i="3"/>
  <c r="EK39" i="3"/>
  <c r="EK38" i="3"/>
  <c r="EK36" i="3"/>
  <c r="EK35" i="3"/>
  <c r="EK34" i="3"/>
  <c r="EK33" i="3"/>
  <c r="EK31" i="3"/>
  <c r="EK30" i="3"/>
  <c r="EK29" i="3"/>
  <c r="EK28" i="3"/>
  <c r="EK22" i="3"/>
  <c r="EK20" i="3"/>
  <c r="EK19" i="3"/>
  <c r="EK18" i="3"/>
  <c r="EK17" i="3"/>
  <c r="EK16" i="3"/>
  <c r="EK15" i="3"/>
  <c r="EK14" i="3"/>
  <c r="EK12" i="3"/>
  <c r="EK11" i="3"/>
  <c r="EK10" i="3"/>
  <c r="EK9" i="3"/>
  <c r="EK8" i="3"/>
  <c r="EK7" i="3"/>
  <c r="AM45" i="3" l="1"/>
  <c r="EK27" i="3"/>
  <c r="EK45" i="3" s="1"/>
  <c r="AM62" i="3"/>
  <c r="AM6" i="3"/>
  <c r="EK52" i="13" l="1"/>
  <c r="EK12" i="13"/>
  <c r="EK20" i="13"/>
  <c r="EK32" i="13"/>
  <c r="EK40" i="13"/>
  <c r="EK54" i="13"/>
  <c r="EK13" i="13"/>
  <c r="EK21" i="13"/>
  <c r="EK33" i="13"/>
  <c r="EK31" i="13"/>
  <c r="EK26" i="13"/>
  <c r="EK43" i="13"/>
  <c r="EK57" i="13"/>
  <c r="EK56" i="13"/>
  <c r="EK48" i="13"/>
  <c r="EK58" i="13"/>
  <c r="EK34" i="13"/>
  <c r="EK29" i="13"/>
  <c r="EK50" i="13"/>
  <c r="EK59" i="13"/>
  <c r="EK11" i="13"/>
  <c r="EK27" i="13"/>
  <c r="EK8" i="13"/>
  <c r="EK9" i="13"/>
  <c r="EK10" i="13"/>
  <c r="EK30" i="13"/>
  <c r="EK38" i="13"/>
  <c r="AM61" i="13"/>
  <c r="AM44" i="13"/>
  <c r="AM6" i="13"/>
  <c r="IX51" i="10" l="1"/>
  <c r="IN43" i="10"/>
  <c r="IL43" i="10"/>
  <c r="IJ43" i="10"/>
  <c r="IH43" i="10"/>
  <c r="IF43" i="10"/>
  <c r="IN41" i="10"/>
  <c r="IN40" i="10"/>
  <c r="IN39" i="10"/>
  <c r="IN38" i="10"/>
  <c r="IN37" i="10"/>
  <c r="IL41" i="10"/>
  <c r="IL40" i="10"/>
  <c r="IL39" i="10"/>
  <c r="IL38" i="10"/>
  <c r="IL37" i="10"/>
  <c r="IJ41" i="10"/>
  <c r="IJ40" i="10"/>
  <c r="IJ39" i="10"/>
  <c r="IJ38" i="10"/>
  <c r="IJ37" i="10"/>
  <c r="IH41" i="10"/>
  <c r="IH40" i="10"/>
  <c r="IH39" i="10"/>
  <c r="IH38" i="10"/>
  <c r="IH37" i="10"/>
  <c r="IF41" i="10"/>
  <c r="IF40" i="10"/>
  <c r="IL34" i="10"/>
  <c r="IL33" i="10"/>
  <c r="IL32" i="10"/>
  <c r="IJ34" i="10"/>
  <c r="IJ33" i="10"/>
  <c r="IJ32" i="10"/>
  <c r="IH33" i="10"/>
  <c r="IF34" i="10"/>
  <c r="IF33" i="10"/>
  <c r="IF32" i="10"/>
  <c r="IP41" i="10" l="1"/>
  <c r="IP43" i="10"/>
  <c r="IP40" i="10"/>
  <c r="EN71" i="2"/>
  <c r="EN55" i="2"/>
  <c r="EN47" i="2"/>
  <c r="EN36" i="2"/>
  <c r="EL70" i="2"/>
  <c r="EL66" i="2"/>
  <c r="EL11" i="2"/>
  <c r="EL69" i="2"/>
  <c r="EL68" i="2"/>
  <c r="AN58" i="2"/>
  <c r="AN55" i="2"/>
  <c r="AN47" i="2"/>
  <c r="EL27" i="2"/>
  <c r="EL26" i="2"/>
  <c r="EL25" i="2"/>
  <c r="EL18" i="2"/>
  <c r="EL16" i="2"/>
  <c r="EL15" i="2"/>
  <c r="EL12" i="2"/>
  <c r="EL10" i="2"/>
  <c r="EL9" i="2"/>
  <c r="EK56" i="4"/>
  <c r="EL5" i="2"/>
  <c r="EM41" i="4"/>
  <c r="EM40" i="4"/>
  <c r="EM39" i="4"/>
  <c r="EM38" i="4"/>
  <c r="EM37" i="4"/>
  <c r="EM36" i="4"/>
  <c r="EM35" i="4"/>
  <c r="EM34" i="4"/>
  <c r="EM30" i="4"/>
  <c r="AM43" i="4"/>
  <c r="EK25" i="4"/>
  <c r="EK21" i="4"/>
  <c r="EK20" i="4"/>
  <c r="EK19" i="4"/>
  <c r="EK18" i="4"/>
  <c r="EK14" i="4"/>
  <c r="EK13" i="4"/>
  <c r="EK12" i="4"/>
  <c r="EK11" i="4"/>
  <c r="EK10" i="4"/>
  <c r="EK9" i="4"/>
  <c r="EK5" i="4"/>
  <c r="EK4" i="4"/>
  <c r="EN57" i="2" l="1"/>
  <c r="EM43" i="4"/>
  <c r="AN85" i="12"/>
  <c r="EK7" i="4"/>
  <c r="AN39" i="1"/>
  <c r="AN69" i="12"/>
  <c r="AN86" i="1"/>
  <c r="AN51" i="12"/>
  <c r="AN55" i="12" s="1"/>
  <c r="AN21" i="12"/>
  <c r="AN39" i="12"/>
  <c r="AN70" i="1"/>
  <c r="AM7" i="4"/>
  <c r="AM16" i="4" s="1"/>
  <c r="AM57" i="4" s="1"/>
  <c r="EK57" i="4" s="1"/>
  <c r="AN87" i="12" l="1"/>
  <c r="AN89" i="12" s="1"/>
  <c r="EK16" i="4"/>
  <c r="EK23" i="4" s="1"/>
  <c r="AN88" i="1"/>
  <c r="AN41" i="12"/>
  <c r="AM23" i="4"/>
  <c r="EK27" i="4" l="1"/>
  <c r="EK32" i="4" s="1"/>
  <c r="EK45" i="4" s="1"/>
  <c r="AN91" i="12"/>
  <c r="AM27" i="4"/>
  <c r="AM32" i="4" s="1"/>
  <c r="AM45" i="4" s="1"/>
  <c r="AM5" i="13"/>
  <c r="EL24" i="2"/>
  <c r="EL17" i="2"/>
  <c r="EL13" i="2"/>
  <c r="EK5" i="13" l="1"/>
  <c r="AM22" i="13"/>
  <c r="AM63" i="13" s="1"/>
  <c r="AN72" i="2"/>
  <c r="EL72" i="2" s="1"/>
  <c r="EL14" i="2"/>
  <c r="EL20" i="2" s="1"/>
  <c r="EL4" i="2"/>
  <c r="EL7" i="2" s="1"/>
  <c r="EL22" i="2" l="1"/>
  <c r="EL29" i="2" s="1"/>
  <c r="AN7" i="2"/>
  <c r="AN20" i="2"/>
  <c r="AN22" i="2" l="1"/>
  <c r="AN29" i="2" s="1"/>
  <c r="AM5" i="3" s="1"/>
  <c r="EK5" i="3" s="1"/>
  <c r="AN21" i="1"/>
  <c r="AN41" i="1" s="1"/>
  <c r="AM23" i="3" l="1"/>
  <c r="AM64" i="3" s="1"/>
  <c r="EL31" i="2"/>
  <c r="EL33" i="2" s="1"/>
  <c r="EL38" i="2" s="1"/>
  <c r="EL59" i="2" s="1"/>
  <c r="AN33" i="2" l="1"/>
  <c r="AN38" i="2" s="1"/>
  <c r="AN59" i="2" s="1"/>
  <c r="AN52" i="1" l="1"/>
  <c r="AN56" i="1" s="1"/>
  <c r="AN90" i="1" l="1"/>
  <c r="AN92" i="1" s="1"/>
  <c r="EM57" i="3" l="1"/>
  <c r="EL67" i="2" l="1"/>
  <c r="EL73" i="2" s="1"/>
  <c r="EL75" i="2" s="1"/>
  <c r="JP46" i="10"/>
  <c r="IZ46" i="10"/>
  <c r="JL46" i="10"/>
  <c r="IV46" i="10"/>
  <c r="JH46" i="10"/>
  <c r="JB43" i="10"/>
  <c r="IZ43" i="10"/>
  <c r="IX43" i="10"/>
  <c r="JH43" i="10"/>
  <c r="JP41" i="10"/>
  <c r="JP40" i="10"/>
  <c r="JP39" i="10"/>
  <c r="JP38" i="10"/>
  <c r="JB37" i="10"/>
  <c r="JN40" i="10"/>
  <c r="IZ39" i="10"/>
  <c r="IZ38" i="10"/>
  <c r="IZ37" i="10"/>
  <c r="JL41" i="10"/>
  <c r="JL40" i="10"/>
  <c r="IX39" i="10"/>
  <c r="JL38" i="10"/>
  <c r="IX37" i="10"/>
  <c r="JJ41" i="10"/>
  <c r="JJ40" i="10"/>
  <c r="JJ39" i="10"/>
  <c r="JJ38" i="10"/>
  <c r="JJ37" i="10"/>
  <c r="IT41" i="10"/>
  <c r="IT39" i="10"/>
  <c r="IT38" i="10"/>
  <c r="IT37" i="10"/>
  <c r="JB34" i="10"/>
  <c r="JP33" i="10"/>
  <c r="JB32" i="10"/>
  <c r="JN33" i="10"/>
  <c r="JN32" i="10"/>
  <c r="JL34" i="10"/>
  <c r="JL33" i="10"/>
  <c r="JL32" i="10"/>
  <c r="JJ34" i="10"/>
  <c r="JJ33" i="10"/>
  <c r="JJ32" i="10"/>
  <c r="IT34" i="10"/>
  <c r="IT32" i="10"/>
  <c r="HZ43" i="10"/>
  <c r="HR32" i="10"/>
  <c r="IN46" i="10"/>
  <c r="IL46" i="10"/>
  <c r="IJ46" i="10"/>
  <c r="IH46" i="10"/>
  <c r="IF46" i="10"/>
  <c r="IF39" i="10"/>
  <c r="IP39" i="10" s="1"/>
  <c r="IF38" i="10"/>
  <c r="IP38" i="10" s="1"/>
  <c r="IF37" i="10"/>
  <c r="IP37" i="10" s="1"/>
  <c r="IN34" i="10"/>
  <c r="IN33" i="10"/>
  <c r="IN32" i="10"/>
  <c r="JB42" i="10"/>
  <c r="IZ42" i="10"/>
  <c r="IZ41" i="10"/>
  <c r="IX42" i="10"/>
  <c r="IX38" i="10"/>
  <c r="IV43" i="10"/>
  <c r="IV42" i="10"/>
  <c r="IT42" i="10"/>
  <c r="IT40" i="10"/>
  <c r="IT33" i="10"/>
  <c r="JP42" i="10"/>
  <c r="JN42" i="10"/>
  <c r="JN41" i="10"/>
  <c r="JL42" i="10"/>
  <c r="JJ43" i="10"/>
  <c r="JJ42" i="10"/>
  <c r="JH42" i="10"/>
  <c r="JH40" i="10"/>
  <c r="JH33" i="10"/>
  <c r="JL51" i="10"/>
  <c r="JH28" i="10"/>
  <c r="JR16" i="10"/>
  <c r="IT28" i="10"/>
  <c r="JD20" i="10"/>
  <c r="JD17" i="10"/>
  <c r="JD16" i="10"/>
  <c r="JD13" i="10"/>
  <c r="JD12" i="10"/>
  <c r="JB10" i="10"/>
  <c r="IZ10" i="10"/>
  <c r="JB5" i="10"/>
  <c r="IX5" i="10"/>
  <c r="JV42" i="10"/>
  <c r="IF28" i="10"/>
  <c r="IP20" i="10"/>
  <c r="IP17" i="10"/>
  <c r="IP16" i="10"/>
  <c r="IP15" i="10"/>
  <c r="IP14" i="10"/>
  <c r="HZ39" i="10"/>
  <c r="HR39" i="10"/>
  <c r="IP12" i="10"/>
  <c r="IP11" i="10"/>
  <c r="IJ10" i="10"/>
  <c r="IP8" i="10"/>
  <c r="HR34" i="10"/>
  <c r="IL5" i="10"/>
  <c r="IJ5" i="10"/>
  <c r="IN5" i="10"/>
  <c r="HV51" i="10"/>
  <c r="HZ42" i="10"/>
  <c r="HX42" i="10"/>
  <c r="HV42" i="10"/>
  <c r="HT42" i="10"/>
  <c r="HR42" i="10"/>
  <c r="HT40" i="10"/>
  <c r="HR40" i="10"/>
  <c r="HZ37" i="10"/>
  <c r="HZ32" i="10"/>
  <c r="HX32" i="10"/>
  <c r="HV32" i="10"/>
  <c r="HR28" i="10"/>
  <c r="HX43" i="10"/>
  <c r="HV43" i="10"/>
  <c r="HT43" i="10"/>
  <c r="IB17" i="10"/>
  <c r="IB16" i="10"/>
  <c r="IB15" i="10"/>
  <c r="HX41" i="10"/>
  <c r="HV41" i="10"/>
  <c r="HT41" i="10"/>
  <c r="HR41" i="10"/>
  <c r="IB14" i="10"/>
  <c r="HZ40" i="10"/>
  <c r="HV40" i="10"/>
  <c r="IB13" i="10"/>
  <c r="IB12" i="10"/>
  <c r="IB11" i="10"/>
  <c r="HZ10" i="10"/>
  <c r="HX37" i="10"/>
  <c r="HV10" i="10"/>
  <c r="HR10" i="10"/>
  <c r="HT10" i="10"/>
  <c r="IB8" i="10"/>
  <c r="HZ33" i="10"/>
  <c r="HV33" i="10"/>
  <c r="IB7" i="10"/>
  <c r="HV5" i="10"/>
  <c r="HR5" i="10"/>
  <c r="HZ5" i="10"/>
  <c r="HX5" i="10"/>
  <c r="EO57" i="3"/>
  <c r="EM52" i="3"/>
  <c r="JN5" i="10" l="1"/>
  <c r="IZ33" i="10"/>
  <c r="JH38" i="10"/>
  <c r="JL37" i="10"/>
  <c r="IZ32" i="10"/>
  <c r="IZ40" i="10"/>
  <c r="IZ36" i="10" s="1"/>
  <c r="JH39" i="10"/>
  <c r="IJ19" i="10"/>
  <c r="IJ22" i="10" s="1"/>
  <c r="EO51" i="3"/>
  <c r="EM51" i="3"/>
  <c r="EO61" i="3"/>
  <c r="EM61" i="3"/>
  <c r="EO11" i="3"/>
  <c r="EM11" i="3"/>
  <c r="EO19" i="3"/>
  <c r="EM19" i="3"/>
  <c r="EO32" i="3"/>
  <c r="EM32" i="3"/>
  <c r="EO41" i="3"/>
  <c r="EM41" i="3"/>
  <c r="EO53" i="3"/>
  <c r="EM53" i="3"/>
  <c r="EO17" i="3"/>
  <c r="EM17" i="3"/>
  <c r="EO31" i="3"/>
  <c r="EM31" i="3"/>
  <c r="EO12" i="3"/>
  <c r="EM12" i="3"/>
  <c r="EO20" i="3"/>
  <c r="EM20" i="3"/>
  <c r="EO33" i="3"/>
  <c r="EM33" i="3"/>
  <c r="EO42" i="3"/>
  <c r="EM42" i="3"/>
  <c r="EO55" i="3"/>
  <c r="EM55" i="3"/>
  <c r="EO9" i="3"/>
  <c r="EM9" i="3"/>
  <c r="EO13" i="3"/>
  <c r="EM13" i="3"/>
  <c r="EO22" i="3"/>
  <c r="EM22" i="3"/>
  <c r="EO34" i="3"/>
  <c r="EM34" i="3"/>
  <c r="EO43" i="3"/>
  <c r="EM43" i="3"/>
  <c r="EO56" i="3"/>
  <c r="EM56" i="3"/>
  <c r="EO30" i="3"/>
  <c r="EM30" i="3"/>
  <c r="EO40" i="3"/>
  <c r="EM40" i="3"/>
  <c r="EO14" i="3"/>
  <c r="EM14" i="3"/>
  <c r="EO27" i="3"/>
  <c r="EM27" i="3"/>
  <c r="EO35" i="3"/>
  <c r="EM35" i="3"/>
  <c r="EO44" i="3"/>
  <c r="EM44" i="3"/>
  <c r="EO60" i="3"/>
  <c r="EM60" i="3"/>
  <c r="EO10" i="3"/>
  <c r="EM10" i="3"/>
  <c r="EO7" i="3"/>
  <c r="EM7" i="3"/>
  <c r="EO15" i="3"/>
  <c r="EM15" i="3"/>
  <c r="EO28" i="3"/>
  <c r="EM28" i="3"/>
  <c r="EO36" i="3"/>
  <c r="EM36" i="3"/>
  <c r="EO49" i="3"/>
  <c r="EM49" i="3"/>
  <c r="EO58" i="3"/>
  <c r="EM58" i="3"/>
  <c r="EO39" i="3"/>
  <c r="EM39" i="3"/>
  <c r="EO18" i="3"/>
  <c r="EM18" i="3"/>
  <c r="EO8" i="3"/>
  <c r="EM8" i="3"/>
  <c r="EO16" i="3"/>
  <c r="EM16" i="3"/>
  <c r="EO29" i="3"/>
  <c r="EM29" i="3"/>
  <c r="EO38" i="3"/>
  <c r="EM38" i="3"/>
  <c r="EO50" i="3"/>
  <c r="EM50" i="3"/>
  <c r="EO59" i="3"/>
  <c r="EM59" i="3"/>
  <c r="IJ31" i="10"/>
  <c r="JN37" i="10"/>
  <c r="JB39" i="10"/>
  <c r="AN73" i="2"/>
  <c r="AN75" i="2" s="1"/>
  <c r="IV33" i="10"/>
  <c r="IH36" i="10"/>
  <c r="IJ36" i="10"/>
  <c r="JB19" i="10"/>
  <c r="JB22" i="10" s="1"/>
  <c r="JB24" i="10" s="1"/>
  <c r="JL43" i="10"/>
  <c r="IT43" i="10"/>
  <c r="JH32" i="10"/>
  <c r="JB38" i="10"/>
  <c r="IZ34" i="10"/>
  <c r="IZ31" i="10" s="1"/>
  <c r="JB40" i="10"/>
  <c r="JN34" i="10"/>
  <c r="JN31" i="10" s="1"/>
  <c r="JB41" i="10"/>
  <c r="JL39" i="10"/>
  <c r="IV37" i="10"/>
  <c r="JP34" i="10"/>
  <c r="IV38" i="10"/>
  <c r="JN43" i="10"/>
  <c r="JH37" i="10"/>
  <c r="JN39" i="10"/>
  <c r="IX41" i="10"/>
  <c r="IX34" i="10"/>
  <c r="AO62" i="3"/>
  <c r="JP32" i="10"/>
  <c r="JP43" i="10"/>
  <c r="JB33" i="10"/>
  <c r="JN38" i="10"/>
  <c r="IX40" i="10"/>
  <c r="EO52" i="3"/>
  <c r="JJ46" i="10"/>
  <c r="AO45" i="3"/>
  <c r="JN10" i="10"/>
  <c r="JN19" i="10" s="1"/>
  <c r="JN22" i="10" s="1"/>
  <c r="JN24" i="10" s="1"/>
  <c r="JN51" i="10" s="1"/>
  <c r="JN46" i="10"/>
  <c r="IV39" i="10"/>
  <c r="JR8" i="10"/>
  <c r="IV40" i="10"/>
  <c r="IX46" i="10"/>
  <c r="JP5" i="10"/>
  <c r="IV41" i="10"/>
  <c r="JR15" i="10"/>
  <c r="JB46" i="10"/>
  <c r="IT46" i="10"/>
  <c r="JR20" i="10"/>
  <c r="JP10" i="10"/>
  <c r="JR17" i="10"/>
  <c r="JP37" i="10"/>
  <c r="JR11" i="10"/>
  <c r="JR13" i="10"/>
  <c r="JH41" i="10"/>
  <c r="JH34" i="10"/>
  <c r="JL5" i="10"/>
  <c r="IX32" i="10"/>
  <c r="IX33" i="10"/>
  <c r="JR6" i="10"/>
  <c r="HV19" i="10"/>
  <c r="HV22" i="10" s="1"/>
  <c r="IL36" i="10"/>
  <c r="IL31" i="10"/>
  <c r="HT32" i="10"/>
  <c r="IB32" i="10" s="1"/>
  <c r="HX10" i="10"/>
  <c r="HX19" i="10" s="1"/>
  <c r="HX22" i="10" s="1"/>
  <c r="HX24" i="10" s="1"/>
  <c r="IN10" i="10"/>
  <c r="IN19" i="10" s="1"/>
  <c r="IN22" i="10" s="1"/>
  <c r="IN24" i="10" s="1"/>
  <c r="HR37" i="10"/>
  <c r="IP13" i="10"/>
  <c r="IZ5" i="10"/>
  <c r="IZ19" i="10" s="1"/>
  <c r="IZ22" i="10" s="1"/>
  <c r="IZ24" i="10" s="1"/>
  <c r="JR14" i="10"/>
  <c r="HT39" i="10"/>
  <c r="HR46" i="10"/>
  <c r="HX33" i="10"/>
  <c r="HV39" i="10"/>
  <c r="HT46" i="10"/>
  <c r="IL10" i="10"/>
  <c r="IL19" i="10" s="1"/>
  <c r="IL22" i="10" s="1"/>
  <c r="IL24" i="10" s="1"/>
  <c r="HT5" i="10"/>
  <c r="HT19" i="10" s="1"/>
  <c r="HT22" i="10" s="1"/>
  <c r="HT24" i="10" s="1"/>
  <c r="HV37" i="10"/>
  <c r="IP6" i="10"/>
  <c r="HZ41" i="10"/>
  <c r="IB41" i="10" s="1"/>
  <c r="HZ19" i="10"/>
  <c r="HZ22" i="10" s="1"/>
  <c r="HZ24" i="10" s="1"/>
  <c r="HX39" i="10"/>
  <c r="JL10" i="10"/>
  <c r="IN36" i="10"/>
  <c r="IX10" i="10"/>
  <c r="IX19" i="10" s="1"/>
  <c r="IX22" i="10" s="1"/>
  <c r="JD14" i="10"/>
  <c r="IP46" i="10"/>
  <c r="JH5" i="10"/>
  <c r="JH10" i="10"/>
  <c r="JJ5" i="10"/>
  <c r="JR7" i="10"/>
  <c r="IP33" i="10" s="1"/>
  <c r="JJ10" i="10"/>
  <c r="JR12" i="10"/>
  <c r="JD11" i="10"/>
  <c r="JD15" i="10"/>
  <c r="IT5" i="10"/>
  <c r="IT10" i="10"/>
  <c r="JD7" i="10"/>
  <c r="IV10" i="10"/>
  <c r="JV5" i="10"/>
  <c r="JV10" i="10"/>
  <c r="IN31" i="10"/>
  <c r="IB42" i="10"/>
  <c r="HT34" i="10"/>
  <c r="HV38" i="10"/>
  <c r="HV34" i="10"/>
  <c r="HV31" i="10" s="1"/>
  <c r="HT37" i="10"/>
  <c r="HX38" i="10"/>
  <c r="IF5" i="10"/>
  <c r="IF10" i="10"/>
  <c r="HT38" i="10"/>
  <c r="HX34" i="10"/>
  <c r="HZ34" i="10"/>
  <c r="HZ31" i="10" s="1"/>
  <c r="IH5" i="10"/>
  <c r="IP7" i="10"/>
  <c r="IH10" i="10"/>
  <c r="HX46" i="10"/>
  <c r="HZ46" i="10"/>
  <c r="HT33" i="10"/>
  <c r="HX40" i="10"/>
  <c r="IB40" i="10" s="1"/>
  <c r="HR19" i="10"/>
  <c r="HR22" i="10" s="1"/>
  <c r="HR24" i="10" s="1"/>
  <c r="HV46" i="10"/>
  <c r="HR43" i="10"/>
  <c r="IB43" i="10" s="1"/>
  <c r="HR33" i="10"/>
  <c r="HR31" i="10" s="1"/>
  <c r="HR38" i="10"/>
  <c r="IN51" i="10" l="1"/>
  <c r="HX51" i="10"/>
  <c r="IL51" i="10"/>
  <c r="IP10" i="10"/>
  <c r="IB39" i="10"/>
  <c r="EO6" i="3"/>
  <c r="EO45" i="3"/>
  <c r="EO62" i="3"/>
  <c r="IZ51" i="10"/>
  <c r="EM45" i="3"/>
  <c r="EM62" i="3"/>
  <c r="EM6" i="3"/>
  <c r="IL45" i="10"/>
  <c r="IL48" i="10" s="1"/>
  <c r="IJ45" i="10"/>
  <c r="IJ48" i="10" s="1"/>
  <c r="IB5" i="10"/>
  <c r="JV19" i="10"/>
  <c r="JV22" i="10" s="1"/>
  <c r="JV24" i="10" s="1"/>
  <c r="HV36" i="10"/>
  <c r="HV45" i="10" s="1"/>
  <c r="HV48" i="10" s="1"/>
  <c r="IB34" i="10"/>
  <c r="HZ36" i="10"/>
  <c r="HZ45" i="10" s="1"/>
  <c r="HZ48" i="10" s="1"/>
  <c r="HX36" i="10"/>
  <c r="HX31" i="10"/>
  <c r="IB38" i="10"/>
  <c r="HT36" i="10"/>
  <c r="JN36" i="10"/>
  <c r="JN45" i="10" s="1"/>
  <c r="JN48" i="10" s="1"/>
  <c r="JP19" i="10"/>
  <c r="JP22" i="10" s="1"/>
  <c r="JP24" i="10" s="1"/>
  <c r="JP51" i="10" s="1"/>
  <c r="IZ45" i="10"/>
  <c r="IZ48" i="10" s="1"/>
  <c r="JR10" i="10"/>
  <c r="JL19" i="10"/>
  <c r="JL22" i="10" s="1"/>
  <c r="IB46" i="10"/>
  <c r="IB10" i="10"/>
  <c r="IB37" i="10"/>
  <c r="HZ51" i="10"/>
  <c r="HT31" i="10"/>
  <c r="IB33" i="10"/>
  <c r="IN45" i="10"/>
  <c r="IN48" i="10" s="1"/>
  <c r="IF36" i="10"/>
  <c r="IP36" i="10" s="1"/>
  <c r="JD10" i="10"/>
  <c r="IH19" i="10"/>
  <c r="IH22" i="10" s="1"/>
  <c r="IH24" i="10" s="1"/>
  <c r="HR36" i="10"/>
  <c r="JJ19" i="10"/>
  <c r="JJ22" i="10" s="1"/>
  <c r="JJ24" i="10" s="1"/>
  <c r="JJ51" i="10" s="1"/>
  <c r="JR5" i="10"/>
  <c r="JH19" i="10"/>
  <c r="JH22" i="10" s="1"/>
  <c r="JH24" i="10" s="1"/>
  <c r="JH51" i="10" s="1"/>
  <c r="IT19" i="10"/>
  <c r="IT22" i="10" s="1"/>
  <c r="IT24" i="10" s="1"/>
  <c r="IP5" i="10"/>
  <c r="IF19" i="10"/>
  <c r="IF22" i="10" s="1"/>
  <c r="IF24" i="10" s="1"/>
  <c r="IF31" i="10"/>
  <c r="IB24" i="10"/>
  <c r="IB31" i="10" l="1"/>
  <c r="IT51" i="10"/>
  <c r="IF51" i="10"/>
  <c r="IB19" i="10"/>
  <c r="IB22" i="10" s="1"/>
  <c r="IP19" i="10"/>
  <c r="HX45" i="10"/>
  <c r="HX48" i="10" s="1"/>
  <c r="IP22" i="10"/>
  <c r="JB51" i="10"/>
  <c r="HT45" i="10"/>
  <c r="HT48" i="10" s="1"/>
  <c r="IB36" i="10"/>
  <c r="JR19" i="10"/>
  <c r="JR22" i="10" s="1"/>
  <c r="HT51" i="10"/>
  <c r="HR45" i="10"/>
  <c r="HR48" i="10" s="1"/>
  <c r="JR24" i="10"/>
  <c r="IP24" i="10"/>
  <c r="IF45" i="10"/>
  <c r="IF48" i="10" s="1"/>
  <c r="HR51" i="10"/>
  <c r="IB45" i="10" l="1"/>
  <c r="IB48" i="10" s="1"/>
  <c r="IB51" i="10"/>
  <c r="AO6" i="3"/>
  <c r="EP55" i="2"/>
  <c r="EP47" i="2"/>
  <c r="EP36" i="2"/>
  <c r="EP57" i="2" l="1"/>
  <c r="EP71" i="2"/>
  <c r="AP55" i="2"/>
  <c r="AP47" i="2"/>
  <c r="AP57" i="2" l="1"/>
  <c r="EP12" i="2"/>
  <c r="EN12" i="2"/>
  <c r="EP27" i="2"/>
  <c r="EN27" i="2"/>
  <c r="EP14" i="2"/>
  <c r="EN14" i="2"/>
  <c r="EP15" i="2"/>
  <c r="EN15" i="2"/>
  <c r="EP16" i="2"/>
  <c r="EN16" i="2"/>
  <c r="EP68" i="2"/>
  <c r="EN68" i="2"/>
  <c r="EP4" i="2"/>
  <c r="EN4" i="2"/>
  <c r="EP17" i="2"/>
  <c r="EP72" i="2" s="1"/>
  <c r="EN17" i="2"/>
  <c r="EN72" i="2" s="1"/>
  <c r="EP69" i="2"/>
  <c r="EN69" i="2"/>
  <c r="EP5" i="2"/>
  <c r="EN5" i="2"/>
  <c r="EP18" i="2"/>
  <c r="EN18" i="2"/>
  <c r="EP70" i="2"/>
  <c r="EN70" i="2"/>
  <c r="EP9" i="2"/>
  <c r="EN9" i="2"/>
  <c r="EP24" i="2"/>
  <c r="EN24" i="2"/>
  <c r="EP10" i="2"/>
  <c r="EN10" i="2"/>
  <c r="EP26" i="2"/>
  <c r="EN26" i="2"/>
  <c r="EP67" i="2"/>
  <c r="EN67" i="2"/>
  <c r="AP7" i="2"/>
  <c r="AP72" i="2"/>
  <c r="AP39" i="1"/>
  <c r="EP7" i="2" l="1"/>
  <c r="EN7" i="2"/>
  <c r="EP13" i="2" l="1"/>
  <c r="EN13" i="2"/>
  <c r="AP70" i="1"/>
  <c r="AP86" i="1"/>
  <c r="EP25" i="2" l="1"/>
  <c r="EN25" i="2"/>
  <c r="AP88" i="1"/>
  <c r="EN11" i="2" l="1"/>
  <c r="EN20" i="2" s="1"/>
  <c r="EN22" i="2" s="1"/>
  <c r="EN29" i="2" s="1"/>
  <c r="AP20" i="2" l="1"/>
  <c r="AP22" i="2" s="1"/>
  <c r="AP29" i="2" s="1"/>
  <c r="AO5" i="3" s="1"/>
  <c r="EM5" i="3" s="1"/>
  <c r="EP11" i="2"/>
  <c r="EP20" i="2" s="1"/>
  <c r="EP22" i="2" s="1"/>
  <c r="EP29" i="2" s="1"/>
  <c r="EN66" i="2"/>
  <c r="EN73" i="2" s="1"/>
  <c r="EN75" i="2" s="1"/>
  <c r="EM23" i="3" l="1"/>
  <c r="EM64" i="3" s="1"/>
  <c r="EO5" i="3"/>
  <c r="AO23" i="3"/>
  <c r="AO64" i="3" s="1"/>
  <c r="AP73" i="2"/>
  <c r="AP75" i="2" s="1"/>
  <c r="EP66" i="2"/>
  <c r="EP73" i="2" s="1"/>
  <c r="EP75" i="2" s="1"/>
  <c r="AP21" i="1"/>
  <c r="AP41" i="1" s="1"/>
  <c r="EO23" i="3" l="1"/>
  <c r="EO64" i="3" s="1"/>
  <c r="EN31" i="2"/>
  <c r="EN33" i="2" s="1"/>
  <c r="EN38" i="2" s="1"/>
  <c r="EN59" i="2" l="1"/>
  <c r="AP33" i="2"/>
  <c r="AP38" i="2" s="1"/>
  <c r="EP31" i="2"/>
  <c r="EP33" i="2" s="1"/>
  <c r="EP38" i="2" s="1"/>
  <c r="EP59" i="2" l="1"/>
  <c r="AP59" i="2"/>
  <c r="AP52" i="1"/>
  <c r="AP56" i="1" s="1"/>
  <c r="AP90" i="1" l="1"/>
  <c r="AP92" i="1" s="1"/>
  <c r="EM60" i="13" l="1"/>
  <c r="EM59" i="13"/>
  <c r="EM58" i="13"/>
  <c r="EM57" i="13"/>
  <c r="EM56" i="13"/>
  <c r="EM55" i="13"/>
  <c r="EM54" i="13"/>
  <c r="EM52" i="13"/>
  <c r="EM51" i="13"/>
  <c r="EM50" i="13"/>
  <c r="EM49" i="13"/>
  <c r="EM48" i="13"/>
  <c r="EM43" i="13"/>
  <c r="EM42" i="13"/>
  <c r="EM41" i="13"/>
  <c r="EM40" i="13"/>
  <c r="EM39" i="13"/>
  <c r="EM38" i="13"/>
  <c r="EM37" i="13"/>
  <c r="EM35" i="13"/>
  <c r="EM34" i="13"/>
  <c r="EM33" i="13"/>
  <c r="EM32" i="13"/>
  <c r="EM31" i="13"/>
  <c r="EM30" i="13"/>
  <c r="EM29" i="13"/>
  <c r="EM28" i="13"/>
  <c r="EM27" i="13"/>
  <c r="EM26" i="13"/>
  <c r="EM21" i="13"/>
  <c r="EM20" i="13"/>
  <c r="EM19" i="13"/>
  <c r="EM18" i="13"/>
  <c r="EM17" i="13"/>
  <c r="EM16" i="13"/>
  <c r="EM15" i="13"/>
  <c r="EM14" i="13"/>
  <c r="EM13" i="13"/>
  <c r="EM12" i="13"/>
  <c r="EM11" i="13"/>
  <c r="EM10" i="13"/>
  <c r="EM9" i="13"/>
  <c r="EM8" i="13"/>
  <c r="EM7" i="13"/>
  <c r="EM44" i="13" l="1"/>
  <c r="EM61" i="13"/>
  <c r="EO31" i="13"/>
  <c r="EO12" i="13"/>
  <c r="EO54" i="13"/>
  <c r="EO33" i="13"/>
  <c r="EO14" i="13"/>
  <c r="EO7" i="13"/>
  <c r="EO35" i="13"/>
  <c r="EO48" i="13"/>
  <c r="EO57" i="13"/>
  <c r="EO19" i="13"/>
  <c r="EO40" i="13"/>
  <c r="EO20" i="13"/>
  <c r="EO13" i="13"/>
  <c r="EO42" i="13"/>
  <c r="EO56" i="13"/>
  <c r="EO15" i="13"/>
  <c r="EO8" i="13"/>
  <c r="EO16" i="13"/>
  <c r="EO28" i="13"/>
  <c r="EO37" i="13"/>
  <c r="EO49" i="13"/>
  <c r="EO58" i="13"/>
  <c r="EO11" i="13"/>
  <c r="EO52" i="13"/>
  <c r="EO32" i="13"/>
  <c r="EO41" i="13"/>
  <c r="EO21" i="13"/>
  <c r="EO55" i="13"/>
  <c r="EO43" i="13"/>
  <c r="EO9" i="13"/>
  <c r="EO17" i="13"/>
  <c r="EO29" i="13"/>
  <c r="EO38" i="13"/>
  <c r="EO50" i="13"/>
  <c r="EO59" i="13"/>
  <c r="EO34" i="13"/>
  <c r="EO27" i="13"/>
  <c r="EO10" i="13"/>
  <c r="EO18" i="13"/>
  <c r="EO30" i="13"/>
  <c r="EO39" i="13"/>
  <c r="EO51" i="13"/>
  <c r="EO60" i="13"/>
  <c r="AO44" i="13"/>
  <c r="AO6" i="13"/>
  <c r="EM6" i="13" s="1"/>
  <c r="EO26" i="13"/>
  <c r="AO61" i="13"/>
  <c r="EO61" i="13" l="1"/>
  <c r="EO6" i="13"/>
  <c r="EO44" i="13"/>
  <c r="EO41" i="4"/>
  <c r="EO40" i="4"/>
  <c r="EO39" i="4"/>
  <c r="EO38" i="4"/>
  <c r="EO37" i="4"/>
  <c r="EO36" i="4"/>
  <c r="EO35" i="4"/>
  <c r="EO34" i="4"/>
  <c r="EO30" i="4"/>
  <c r="EM4" i="4"/>
  <c r="AO43" i="4"/>
  <c r="EO43" i="4" l="1"/>
  <c r="EO13" i="4"/>
  <c r="EM13" i="4"/>
  <c r="EO18" i="4"/>
  <c r="EM18" i="4"/>
  <c r="EO5" i="4"/>
  <c r="EM5" i="4"/>
  <c r="EM7" i="4" s="1"/>
  <c r="EO19" i="4"/>
  <c r="EM19" i="4"/>
  <c r="EO14" i="4"/>
  <c r="EM14" i="4"/>
  <c r="EO20" i="4"/>
  <c r="EM20" i="4"/>
  <c r="EO9" i="4"/>
  <c r="EM9" i="4"/>
  <c r="EO21" i="4"/>
  <c r="EM21" i="4"/>
  <c r="EO10" i="4"/>
  <c r="EM10" i="4"/>
  <c r="EO25" i="4"/>
  <c r="EM25" i="4"/>
  <c r="EO11" i="4"/>
  <c r="EM11" i="4"/>
  <c r="EO56" i="4"/>
  <c r="EM56" i="4"/>
  <c r="EO12" i="4"/>
  <c r="EM12" i="4"/>
  <c r="AO7" i="4"/>
  <c r="AO16" i="4" s="1"/>
  <c r="AP69" i="12"/>
  <c r="AP85" i="12"/>
  <c r="AP51" i="12"/>
  <c r="AP55" i="12" s="1"/>
  <c r="EO4" i="4"/>
  <c r="AP39" i="12"/>
  <c r="EO7" i="4" l="1"/>
  <c r="EM16" i="4"/>
  <c r="EM23" i="4" s="1"/>
  <c r="EO16" i="4"/>
  <c r="EO23" i="4" s="1"/>
  <c r="AP87" i="12"/>
  <c r="AP89" i="12" s="1"/>
  <c r="AO23" i="4"/>
  <c r="AO57" i="4"/>
  <c r="AP21" i="12"/>
  <c r="AP41" i="12" s="1"/>
  <c r="EO27" i="4" l="1"/>
  <c r="EO32" i="4" s="1"/>
  <c r="EO45" i="4" s="1"/>
  <c r="EM27" i="4"/>
  <c r="EM32" i="4" s="1"/>
  <c r="AP91" i="12"/>
  <c r="EO57" i="4"/>
  <c r="EM57" i="4"/>
  <c r="EM45" i="4"/>
  <c r="AO27" i="4"/>
  <c r="AO32" i="4" s="1"/>
  <c r="AO5" i="13"/>
  <c r="EM5" i="13" s="1"/>
  <c r="EM22" i="13" s="1"/>
  <c r="EM63" i="13" s="1"/>
  <c r="EO1" i="3"/>
  <c r="EM1" i="3"/>
  <c r="EK1" i="3"/>
  <c r="EI1" i="3"/>
  <c r="EJ1" i="2"/>
  <c r="EL1" i="2"/>
  <c r="EN1" i="2"/>
  <c r="EP1" i="2"/>
  <c r="EO5" i="13" l="1"/>
  <c r="AO22" i="13"/>
  <c r="AO63" i="13" s="1"/>
  <c r="AO45" i="4"/>
  <c r="ER41" i="2"/>
  <c r="EO22" i="13" l="1"/>
  <c r="EO63" i="13" s="1"/>
  <c r="IT31" i="10"/>
  <c r="AQ29" i="3"/>
  <c r="IT36" i="10" l="1"/>
  <c r="IT45" i="10" l="1"/>
  <c r="IT48" i="10" s="1"/>
  <c r="IV36" i="10" l="1"/>
  <c r="AQ45" i="3" l="1"/>
  <c r="AR69" i="12" l="1"/>
  <c r="AR72" i="2"/>
  <c r="AR70" i="1" l="1"/>
  <c r="AR39" i="1"/>
  <c r="AR86" i="1"/>
  <c r="AR21" i="1"/>
  <c r="AR85" i="12" l="1"/>
  <c r="SJ20" i="10" l="1"/>
  <c r="SE19" i="10"/>
  <c r="SE22" i="10" s="1"/>
  <c r="SJ17" i="10"/>
  <c r="SJ14" i="10"/>
  <c r="SJ13" i="10"/>
  <c r="SJ12" i="10"/>
  <c r="SJ11" i="10"/>
  <c r="SH10" i="10"/>
  <c r="SF10" i="10"/>
  <c r="SD10" i="10"/>
  <c r="SB10" i="10"/>
  <c r="RZ10" i="10"/>
  <c r="SJ8" i="10"/>
  <c r="SJ7" i="10"/>
  <c r="SJ6" i="10"/>
  <c r="SH5" i="10"/>
  <c r="SF5" i="10"/>
  <c r="SD5" i="10"/>
  <c r="SB5" i="10"/>
  <c r="RZ5" i="10"/>
  <c r="BW62" i="3"/>
  <c r="BW40" i="3"/>
  <c r="BW29" i="3"/>
  <c r="BW45" i="3" s="1"/>
  <c r="BW6" i="3"/>
  <c r="BW23" i="3" s="1"/>
  <c r="BX86" i="1"/>
  <c r="BX70" i="1"/>
  <c r="BX52" i="1"/>
  <c r="BX56" i="1" s="1"/>
  <c r="BX39" i="1"/>
  <c r="BX21" i="1"/>
  <c r="SF19" i="10" l="1"/>
  <c r="SF22" i="10" s="1"/>
  <c r="SH19" i="10"/>
  <c r="SH22" i="10" s="1"/>
  <c r="SD19" i="10"/>
  <c r="SD22" i="10" s="1"/>
  <c r="SB19" i="10"/>
  <c r="SB22" i="10" s="1"/>
  <c r="JV37" i="10"/>
  <c r="JV39" i="10"/>
  <c r="JV32" i="10"/>
  <c r="JV46" i="10"/>
  <c r="SJ5" i="10"/>
  <c r="SJ10" i="10"/>
  <c r="JV34" i="10"/>
  <c r="JV43" i="10"/>
  <c r="JV33" i="10"/>
  <c r="JV41" i="10"/>
  <c r="JV38" i="10"/>
  <c r="JH31" i="10"/>
  <c r="JV40" i="10"/>
  <c r="BX88" i="1"/>
  <c r="BX90" i="1" s="1"/>
  <c r="BX41" i="1"/>
  <c r="RZ19" i="10"/>
  <c r="RZ22" i="10" s="1"/>
  <c r="BW64" i="3"/>
  <c r="BW68" i="3" s="1"/>
  <c r="BX95" i="1"/>
  <c r="JV31" i="10" l="1"/>
  <c r="JV36" i="10"/>
  <c r="JB36" i="10"/>
  <c r="JB31" i="10"/>
  <c r="SJ19" i="10"/>
  <c r="SJ22" i="10" s="1"/>
  <c r="JV45" i="10" l="1"/>
  <c r="JV48" i="10" s="1"/>
  <c r="JB45" i="10"/>
  <c r="JB48" i="10" s="1"/>
  <c r="AT72" i="2" l="1"/>
  <c r="EQ4" i="4"/>
  <c r="AT21" i="1" l="1"/>
  <c r="AT86" i="1"/>
  <c r="AT39" i="1"/>
  <c r="AT69" i="12"/>
  <c r="AT70" i="1"/>
  <c r="LH16" i="10" l="1"/>
  <c r="JP31" i="10"/>
  <c r="LH15" i="10" l="1"/>
  <c r="JP36" i="10"/>
  <c r="JP45" i="10" s="1"/>
  <c r="JP48" i="10" s="1"/>
  <c r="LH12" i="10"/>
  <c r="LH13" i="10"/>
  <c r="LH11" i="10"/>
  <c r="LH14" i="10"/>
  <c r="LH17" i="10"/>
  <c r="AU6" i="3" l="1"/>
  <c r="AU6" i="13" l="1"/>
  <c r="AV61" i="1" l="1"/>
  <c r="AV70" i="1" s="1"/>
  <c r="AV12" i="1"/>
  <c r="AV21" i="1" s="1"/>
  <c r="AV75" i="1"/>
  <c r="AV26" i="1"/>
  <c r="AV39" i="1" s="1"/>
  <c r="AV72" i="2"/>
  <c r="ET5" i="2"/>
  <c r="ET4" i="2"/>
  <c r="ES4" i="4"/>
  <c r="AU7" i="4" l="1"/>
  <c r="FF70" i="2" l="1"/>
  <c r="BF60" i="12" l="1"/>
  <c r="BF69" i="12" l="1"/>
  <c r="BF85" i="12"/>
  <c r="FE14" i="4"/>
  <c r="FE13" i="4"/>
  <c r="FE12" i="4"/>
  <c r="FE11" i="4"/>
  <c r="FE10" i="4"/>
  <c r="NS42" i="10" l="1"/>
  <c r="NQ42" i="10"/>
  <c r="NQ40" i="10"/>
  <c r="NQ39" i="10"/>
  <c r="NQ38" i="10"/>
  <c r="NQ37" i="10"/>
  <c r="NQ34" i="10"/>
  <c r="NQ33" i="10"/>
  <c r="NQ32" i="10"/>
  <c r="NS43" i="10"/>
  <c r="NS41" i="10"/>
  <c r="NS39" i="10"/>
  <c r="NS38" i="10"/>
  <c r="NS37" i="10"/>
  <c r="NQ46" i="10"/>
  <c r="NU41" i="10" l="1"/>
  <c r="LS42" i="10"/>
  <c r="LQ42" i="10"/>
  <c r="LO42" i="10"/>
  <c r="LM42" i="10"/>
  <c r="LK42" i="10"/>
  <c r="LS35" i="10"/>
  <c r="LU16" i="10"/>
  <c r="LQ46" i="10"/>
  <c r="LO46" i="10"/>
  <c r="LK46" i="10"/>
  <c r="LS43" i="10"/>
  <c r="LO43" i="10"/>
  <c r="LM43" i="10"/>
  <c r="LK43" i="10"/>
  <c r="LQ41" i="10"/>
  <c r="LQ39" i="10"/>
  <c r="LQ38" i="10"/>
  <c r="LQ37" i="10"/>
  <c r="LO41" i="10"/>
  <c r="LO40" i="10"/>
  <c r="LO39" i="10"/>
  <c r="LO38" i="10"/>
  <c r="LO37" i="10"/>
  <c r="LM41" i="10"/>
  <c r="LM40" i="10"/>
  <c r="LK41" i="10"/>
  <c r="LK40" i="10"/>
  <c r="LK39" i="10"/>
  <c r="LK38" i="10"/>
  <c r="LK37" i="10"/>
  <c r="LS33" i="10"/>
  <c r="LS32" i="10"/>
  <c r="LQ34" i="10"/>
  <c r="LQ33" i="10"/>
  <c r="LQ32" i="10"/>
  <c r="LO34" i="10"/>
  <c r="LO33" i="10"/>
  <c r="LO32" i="10"/>
  <c r="LM34" i="10"/>
  <c r="LM33" i="10"/>
  <c r="LK34" i="10"/>
  <c r="LK33" i="10"/>
  <c r="LU42" i="10" l="1"/>
  <c r="LU33" i="10"/>
  <c r="EW20" i="3" l="1"/>
  <c r="EX70" i="2" l="1"/>
  <c r="AX72" i="2"/>
  <c r="AX12" i="1" l="1"/>
  <c r="AX21" i="1" s="1"/>
  <c r="AX26" i="1"/>
  <c r="AX39" i="1" s="1"/>
  <c r="AX61" i="1"/>
  <c r="AX70" i="1" s="1"/>
  <c r="AX75" i="1"/>
  <c r="AX86" i="1" s="1"/>
  <c r="EW20" i="13"/>
  <c r="EW56" i="4" l="1"/>
  <c r="EU25" i="4"/>
  <c r="EU21" i="4"/>
  <c r="EW20" i="4"/>
  <c r="EU19" i="4"/>
  <c r="EW18" i="4"/>
  <c r="EW14" i="4"/>
  <c r="EW13" i="4"/>
  <c r="EW12" i="4"/>
  <c r="EU11" i="4"/>
  <c r="EW10" i="4"/>
  <c r="EU9" i="4"/>
  <c r="EW4" i="4"/>
  <c r="EW60" i="13"/>
  <c r="EU60" i="13"/>
  <c r="EW59" i="13"/>
  <c r="EU59" i="13"/>
  <c r="ES59" i="13"/>
  <c r="EQ59" i="13"/>
  <c r="EW58" i="13"/>
  <c r="EU58" i="13"/>
  <c r="ES58" i="13"/>
  <c r="EQ58" i="13"/>
  <c r="EW57" i="13"/>
  <c r="EU57" i="13"/>
  <c r="ES57" i="13"/>
  <c r="EQ57" i="13"/>
  <c r="EW56" i="13"/>
  <c r="EU56" i="13"/>
  <c r="ES56" i="13"/>
  <c r="EQ56" i="13"/>
  <c r="EW55" i="13"/>
  <c r="EU55" i="13"/>
  <c r="EW54" i="13"/>
  <c r="EU54" i="13"/>
  <c r="ES54" i="13"/>
  <c r="EQ54" i="13"/>
  <c r="EU53" i="13"/>
  <c r="ES53" i="13"/>
  <c r="EQ53" i="13"/>
  <c r="EW52" i="13"/>
  <c r="EU52" i="13"/>
  <c r="ES52" i="13"/>
  <c r="EQ52" i="13"/>
  <c r="EW51" i="13"/>
  <c r="EU51" i="13"/>
  <c r="EW50" i="13"/>
  <c r="EU50" i="13"/>
  <c r="ES50" i="13"/>
  <c r="EQ50" i="13"/>
  <c r="EW49" i="13"/>
  <c r="EU49" i="13"/>
  <c r="EW48" i="13"/>
  <c r="EU48" i="13"/>
  <c r="ES48" i="13"/>
  <c r="EQ48" i="13"/>
  <c r="EW43" i="13"/>
  <c r="EU43" i="13"/>
  <c r="ES43" i="13"/>
  <c r="EQ43" i="13"/>
  <c r="EW42" i="13"/>
  <c r="EU42" i="13"/>
  <c r="EW41" i="13"/>
  <c r="EU41" i="13"/>
  <c r="EW40" i="13"/>
  <c r="EU40" i="13"/>
  <c r="ES40" i="13"/>
  <c r="EQ40" i="13"/>
  <c r="EW39" i="13"/>
  <c r="EU39" i="13"/>
  <c r="EW38" i="13"/>
  <c r="EU38" i="13"/>
  <c r="ES38" i="13"/>
  <c r="EQ38" i="13"/>
  <c r="EW37" i="13"/>
  <c r="EU37" i="13"/>
  <c r="EW36" i="13"/>
  <c r="EW35" i="13"/>
  <c r="EU35" i="13"/>
  <c r="EW34" i="13"/>
  <c r="EU34" i="13"/>
  <c r="ES34" i="13"/>
  <c r="EQ34" i="13"/>
  <c r="EW33" i="13"/>
  <c r="EU33" i="13"/>
  <c r="ES33" i="13"/>
  <c r="EQ33" i="13"/>
  <c r="EW32" i="13"/>
  <c r="EU32" i="13"/>
  <c r="ES32" i="13"/>
  <c r="EQ32" i="13"/>
  <c r="EW31" i="13"/>
  <c r="EU31" i="13"/>
  <c r="ES31" i="13"/>
  <c r="EQ31" i="13"/>
  <c r="EW30" i="13"/>
  <c r="EU30" i="13"/>
  <c r="ES30" i="13"/>
  <c r="EQ30" i="13"/>
  <c r="EW29" i="13"/>
  <c r="EU29" i="13"/>
  <c r="ES29" i="13"/>
  <c r="EQ29" i="13"/>
  <c r="EW28" i="13"/>
  <c r="EU28" i="13"/>
  <c r="EW27" i="13"/>
  <c r="EU27" i="13"/>
  <c r="ES27" i="13"/>
  <c r="EQ27" i="13"/>
  <c r="EW26" i="13"/>
  <c r="EU26" i="13"/>
  <c r="ES26" i="13"/>
  <c r="EQ26" i="13"/>
  <c r="EW21" i="13"/>
  <c r="EU21" i="13"/>
  <c r="ES21" i="13"/>
  <c r="EQ21" i="13"/>
  <c r="EU20" i="13"/>
  <c r="ES20" i="13"/>
  <c r="EQ20" i="13"/>
  <c r="EW19" i="13"/>
  <c r="EU19" i="13"/>
  <c r="EW18" i="13"/>
  <c r="EU18" i="13"/>
  <c r="EW17" i="13"/>
  <c r="EU17" i="13"/>
  <c r="EW16" i="13"/>
  <c r="EU16" i="13"/>
  <c r="EW15" i="13"/>
  <c r="EU15" i="13"/>
  <c r="EW14" i="13"/>
  <c r="EU14" i="13"/>
  <c r="EW13" i="13"/>
  <c r="EU13" i="13"/>
  <c r="ES13" i="13"/>
  <c r="EQ13" i="13"/>
  <c r="EW12" i="13"/>
  <c r="EU12" i="13"/>
  <c r="ES12" i="13"/>
  <c r="EQ12" i="13"/>
  <c r="EW11" i="13"/>
  <c r="EU11" i="13"/>
  <c r="ES11" i="13"/>
  <c r="EQ11" i="13"/>
  <c r="EW10" i="13"/>
  <c r="EU10" i="13"/>
  <c r="ES10" i="13"/>
  <c r="EQ10" i="13"/>
  <c r="EW9" i="13"/>
  <c r="EU9" i="13"/>
  <c r="ES9" i="13"/>
  <c r="EQ9" i="13"/>
  <c r="EW8" i="13"/>
  <c r="EW7" i="13"/>
  <c r="EU7" i="13"/>
  <c r="EW1" i="13"/>
  <c r="EU1" i="13"/>
  <c r="ES1" i="13"/>
  <c r="EQ1" i="13"/>
  <c r="AW61" i="13"/>
  <c r="EW61" i="13" s="1"/>
  <c r="AU61" i="13"/>
  <c r="AU44" i="13"/>
  <c r="ES56" i="4"/>
  <c r="EQ56" i="4"/>
  <c r="EW41" i="4"/>
  <c r="EU41" i="4"/>
  <c r="ES41" i="4"/>
  <c r="EW40" i="4"/>
  <c r="EU40" i="4"/>
  <c r="ES40" i="4"/>
  <c r="EQ40" i="4"/>
  <c r="EW39" i="4"/>
  <c r="EU39" i="4"/>
  <c r="ES39" i="4"/>
  <c r="EQ39" i="4"/>
  <c r="EW38" i="4"/>
  <c r="EU38" i="4"/>
  <c r="ES38" i="4"/>
  <c r="EQ38" i="4"/>
  <c r="EW37" i="4"/>
  <c r="EU37" i="4"/>
  <c r="ES37" i="4"/>
  <c r="EQ37" i="4"/>
  <c r="EW36" i="4"/>
  <c r="EU36" i="4"/>
  <c r="ES36" i="4"/>
  <c r="EQ36" i="4"/>
  <c r="EW35" i="4"/>
  <c r="EU35" i="4"/>
  <c r="ES35" i="4"/>
  <c r="EQ35" i="4"/>
  <c r="EU34" i="4"/>
  <c r="ES34" i="4"/>
  <c r="EQ34" i="4"/>
  <c r="EW30" i="4"/>
  <c r="EU30" i="4"/>
  <c r="ES30" i="4"/>
  <c r="EQ30" i="4"/>
  <c r="ES25" i="4"/>
  <c r="EQ25" i="4"/>
  <c r="ES21" i="4"/>
  <c r="EQ21" i="4"/>
  <c r="ES20" i="4"/>
  <c r="EQ20" i="4"/>
  <c r="ES19" i="4"/>
  <c r="EQ19" i="4"/>
  <c r="ES18" i="4"/>
  <c r="EQ18" i="4"/>
  <c r="ES14" i="4"/>
  <c r="EQ14" i="4"/>
  <c r="ES13" i="4"/>
  <c r="EQ13" i="4"/>
  <c r="ES12" i="4"/>
  <c r="EQ12" i="4"/>
  <c r="ES11" i="4"/>
  <c r="EQ11" i="4"/>
  <c r="ES10" i="4"/>
  <c r="EQ10" i="4"/>
  <c r="ES9" i="4"/>
  <c r="EQ9" i="4"/>
  <c r="ES5" i="4"/>
  <c r="EQ5" i="4"/>
  <c r="EW1" i="4"/>
  <c r="EU1" i="4"/>
  <c r="ES1" i="4"/>
  <c r="EQ1" i="4"/>
  <c r="AW43" i="4"/>
  <c r="AU43" i="4"/>
  <c r="AS43" i="4"/>
  <c r="AU16" i="4"/>
  <c r="AS7" i="4"/>
  <c r="AS16" i="4" s="1"/>
  <c r="AV85" i="12"/>
  <c r="AT85" i="12"/>
  <c r="AV69" i="12"/>
  <c r="AV51" i="12"/>
  <c r="AV55" i="12" s="1"/>
  <c r="AV39" i="12"/>
  <c r="AT39" i="12"/>
  <c r="AR21" i="12"/>
  <c r="JZ51" i="10"/>
  <c r="KP46" i="10"/>
  <c r="KN46" i="10"/>
  <c r="LF43" i="10"/>
  <c r="LD42" i="10"/>
  <c r="LB42" i="10"/>
  <c r="KT42" i="10"/>
  <c r="KP41" i="10"/>
  <c r="JX41" i="10"/>
  <c r="KN40" i="10"/>
  <c r="JZ39" i="10"/>
  <c r="LB38" i="10"/>
  <c r="KP38" i="10"/>
  <c r="KN38" i="10"/>
  <c r="KJ38" i="10"/>
  <c r="LD37" i="10"/>
  <c r="KN37" i="10"/>
  <c r="LO36" i="10"/>
  <c r="KX34" i="10"/>
  <c r="KD33" i="10"/>
  <c r="KB33" i="10"/>
  <c r="LK32" i="10"/>
  <c r="KX32" i="10"/>
  <c r="KR32" i="10"/>
  <c r="JZ32" i="10"/>
  <c r="LO31" i="10"/>
  <c r="LK28" i="10"/>
  <c r="KX28" i="10"/>
  <c r="KJ28" i="10"/>
  <c r="JV28" i="10"/>
  <c r="KN51" i="10"/>
  <c r="LB46" i="10"/>
  <c r="JZ46" i="10"/>
  <c r="KL46" i="10"/>
  <c r="KF20" i="10"/>
  <c r="JD46" i="10" s="1"/>
  <c r="KB46" i="10"/>
  <c r="KN43" i="10"/>
  <c r="KR43" i="10"/>
  <c r="JX43" i="10"/>
  <c r="KF17" i="10"/>
  <c r="JD43" i="10" s="1"/>
  <c r="KD43" i="10"/>
  <c r="JZ43" i="10"/>
  <c r="LF42" i="10"/>
  <c r="KD42" i="10"/>
  <c r="KB42" i="10"/>
  <c r="JZ42" i="10"/>
  <c r="JX42" i="10"/>
  <c r="KT16" i="10"/>
  <c r="JR42" i="10" s="1"/>
  <c r="KF16" i="10"/>
  <c r="JD42" i="10" s="1"/>
  <c r="LD41" i="10"/>
  <c r="LB41" i="10"/>
  <c r="KZ41" i="10"/>
  <c r="KF15" i="10"/>
  <c r="JD41" i="10" s="1"/>
  <c r="KB41" i="10"/>
  <c r="JZ41" i="10"/>
  <c r="LB40" i="10"/>
  <c r="KF14" i="10"/>
  <c r="JD40" i="10" s="1"/>
  <c r="JZ40" i="10"/>
  <c r="JX40" i="10"/>
  <c r="LB39" i="10"/>
  <c r="KP39" i="10"/>
  <c r="KN39" i="10"/>
  <c r="KF13" i="10"/>
  <c r="JD39" i="10" s="1"/>
  <c r="LD38" i="10"/>
  <c r="KX38" i="10"/>
  <c r="KB38" i="10"/>
  <c r="KF12" i="10"/>
  <c r="JD38" i="10" s="1"/>
  <c r="LB37" i="10"/>
  <c r="KP37" i="10"/>
  <c r="JZ37" i="10"/>
  <c r="LO10" i="10"/>
  <c r="LF10" i="10"/>
  <c r="LD10" i="10"/>
  <c r="KZ10" i="10"/>
  <c r="KX10" i="10"/>
  <c r="KN10" i="10"/>
  <c r="KJ10" i="10"/>
  <c r="KB10" i="10"/>
  <c r="LH8" i="10"/>
  <c r="LD34" i="10"/>
  <c r="LB34" i="10"/>
  <c r="KZ34" i="10"/>
  <c r="KL34" i="10"/>
  <c r="KF8" i="10"/>
  <c r="KB34" i="10"/>
  <c r="LU7" i="10"/>
  <c r="LB33" i="10"/>
  <c r="KZ33" i="10"/>
  <c r="LH7" i="10"/>
  <c r="KR33" i="10"/>
  <c r="KP33" i="10"/>
  <c r="KN33" i="10"/>
  <c r="KT7" i="10"/>
  <c r="JR33" i="10" s="1"/>
  <c r="JX33" i="10"/>
  <c r="LQ5" i="10"/>
  <c r="LF32" i="10"/>
  <c r="LD32" i="10"/>
  <c r="LB32" i="10"/>
  <c r="LH6" i="10"/>
  <c r="KJ32" i="10"/>
  <c r="KF6" i="10"/>
  <c r="KD32" i="10"/>
  <c r="KB32" i="10"/>
  <c r="LO5" i="10"/>
  <c r="LK5" i="10"/>
  <c r="LF5" i="10"/>
  <c r="KZ5" i="10"/>
  <c r="KX5" i="10"/>
  <c r="KP5" i="10"/>
  <c r="KN5" i="10"/>
  <c r="KD5" i="10"/>
  <c r="JZ5" i="10"/>
  <c r="JX5" i="10"/>
  <c r="EW61" i="3"/>
  <c r="EU61" i="3"/>
  <c r="EW60" i="3"/>
  <c r="EU60" i="3"/>
  <c r="ES60" i="3"/>
  <c r="EQ60" i="3"/>
  <c r="EW59" i="3"/>
  <c r="EU59" i="3"/>
  <c r="ES59" i="3"/>
  <c r="EQ59" i="3"/>
  <c r="EW58" i="3"/>
  <c r="EU58" i="3"/>
  <c r="ES58" i="3"/>
  <c r="EQ58" i="3"/>
  <c r="EW57" i="3"/>
  <c r="EU57" i="3"/>
  <c r="ES57" i="3"/>
  <c r="EQ57" i="3"/>
  <c r="EW56" i="3"/>
  <c r="EU56" i="3"/>
  <c r="EW55" i="3"/>
  <c r="EU55" i="3"/>
  <c r="ES55" i="3"/>
  <c r="EQ55" i="3"/>
  <c r="EU54" i="3"/>
  <c r="ES54" i="3"/>
  <c r="EQ54" i="3"/>
  <c r="EW53" i="3"/>
  <c r="EU53" i="3"/>
  <c r="ES53" i="3"/>
  <c r="EQ53" i="3"/>
  <c r="EW52" i="3"/>
  <c r="EU52" i="3"/>
  <c r="EW51" i="3"/>
  <c r="EU51" i="3"/>
  <c r="ES51" i="3"/>
  <c r="EQ51" i="3"/>
  <c r="EW50" i="3"/>
  <c r="EU50" i="3"/>
  <c r="EW44" i="3"/>
  <c r="EU44" i="3"/>
  <c r="ES44" i="3"/>
  <c r="EQ44" i="3"/>
  <c r="EW41" i="3"/>
  <c r="EU41" i="3"/>
  <c r="ES41" i="3"/>
  <c r="EQ41" i="3"/>
  <c r="EW39" i="3"/>
  <c r="EU39" i="3"/>
  <c r="ES39" i="3"/>
  <c r="EQ39" i="3"/>
  <c r="EW36" i="3"/>
  <c r="EU36" i="3"/>
  <c r="ES36" i="3"/>
  <c r="EQ36" i="3"/>
  <c r="EW35" i="3"/>
  <c r="EU35" i="3"/>
  <c r="ES35" i="3"/>
  <c r="EQ35" i="3"/>
  <c r="EW34" i="3"/>
  <c r="EU34" i="3"/>
  <c r="EW33" i="3"/>
  <c r="EU33" i="3"/>
  <c r="ES33" i="3"/>
  <c r="EQ33" i="3"/>
  <c r="EW32" i="3"/>
  <c r="EU32" i="3"/>
  <c r="ES32" i="3"/>
  <c r="EQ32" i="3"/>
  <c r="EW31" i="3"/>
  <c r="EU31" i="3"/>
  <c r="ES31" i="3"/>
  <c r="EQ31" i="3"/>
  <c r="EW30" i="3"/>
  <c r="EU30" i="3"/>
  <c r="ES30" i="3"/>
  <c r="EQ30" i="3"/>
  <c r="EW29" i="3"/>
  <c r="EU29" i="3"/>
  <c r="EW28" i="3"/>
  <c r="EU28" i="3"/>
  <c r="ES28" i="3"/>
  <c r="EQ28" i="3"/>
  <c r="EW27" i="3"/>
  <c r="EU27" i="3"/>
  <c r="ES27" i="3"/>
  <c r="EQ27" i="3"/>
  <c r="EW22" i="3"/>
  <c r="EU22" i="3"/>
  <c r="ES22" i="3"/>
  <c r="EU20" i="3"/>
  <c r="ES20" i="3"/>
  <c r="EW13" i="3"/>
  <c r="EU13" i="3"/>
  <c r="ES13" i="3"/>
  <c r="EW12" i="3"/>
  <c r="EU12" i="3"/>
  <c r="ES12" i="3"/>
  <c r="EW11" i="3"/>
  <c r="EU11" i="3"/>
  <c r="ES11" i="3"/>
  <c r="EW10" i="3"/>
  <c r="EU10" i="3"/>
  <c r="ES10" i="3"/>
  <c r="EW9" i="3"/>
  <c r="EU9" i="3"/>
  <c r="ES9" i="3"/>
  <c r="ES8" i="3"/>
  <c r="EW1" i="3"/>
  <c r="EU1" i="3"/>
  <c r="ES1" i="3"/>
  <c r="EQ1" i="3"/>
  <c r="EX71" i="2"/>
  <c r="EV71" i="2"/>
  <c r="ET71" i="2"/>
  <c r="ER71" i="2"/>
  <c r="EV70" i="2"/>
  <c r="ET70" i="2"/>
  <c r="ER70" i="2"/>
  <c r="EX69" i="2"/>
  <c r="EV69" i="2"/>
  <c r="ET69" i="2"/>
  <c r="ER69" i="2"/>
  <c r="EX68" i="2"/>
  <c r="EV68" i="2"/>
  <c r="ET68" i="2"/>
  <c r="ER68" i="2"/>
  <c r="EX67" i="2"/>
  <c r="EV67" i="2"/>
  <c r="ET67" i="2"/>
  <c r="ET66" i="2"/>
  <c r="EX55" i="2"/>
  <c r="EV55" i="2"/>
  <c r="ET55" i="2"/>
  <c r="ER55" i="2"/>
  <c r="EX47" i="2"/>
  <c r="EV46" i="2"/>
  <c r="ET46" i="2"/>
  <c r="ER46" i="2"/>
  <c r="EV41" i="2"/>
  <c r="ET41" i="2"/>
  <c r="EX36" i="2"/>
  <c r="EV36" i="2"/>
  <c r="ET36" i="2"/>
  <c r="ER36" i="2"/>
  <c r="EX31" i="2"/>
  <c r="EV31" i="2"/>
  <c r="ET31" i="2"/>
  <c r="ER31" i="2"/>
  <c r="EX27" i="2"/>
  <c r="EV27" i="2"/>
  <c r="ET27" i="2"/>
  <c r="ER27" i="2"/>
  <c r="EX26" i="2"/>
  <c r="EV26" i="2"/>
  <c r="ET26" i="2"/>
  <c r="ER26" i="2"/>
  <c r="EX25" i="2"/>
  <c r="EV25" i="2"/>
  <c r="ET25" i="2"/>
  <c r="ER25" i="2"/>
  <c r="EX24" i="2"/>
  <c r="EV24" i="2"/>
  <c r="ET24" i="2"/>
  <c r="ER24" i="2"/>
  <c r="EX18" i="2"/>
  <c r="EV18" i="2"/>
  <c r="ET18" i="2"/>
  <c r="ER18" i="2"/>
  <c r="EX17" i="2"/>
  <c r="EX72" i="2" s="1"/>
  <c r="EV17" i="2"/>
  <c r="EV72" i="2" s="1"/>
  <c r="ET17" i="2"/>
  <c r="ET72" i="2" s="1"/>
  <c r="ER17" i="2"/>
  <c r="ER72" i="2" s="1"/>
  <c r="EX16" i="2"/>
  <c r="EV16" i="2"/>
  <c r="ET16" i="2"/>
  <c r="ER16" i="2"/>
  <c r="EX15" i="2"/>
  <c r="EV15" i="2"/>
  <c r="ET15" i="2"/>
  <c r="ER15" i="2"/>
  <c r="EX14" i="2"/>
  <c r="EV14" i="2"/>
  <c r="ET14" i="2"/>
  <c r="ER14" i="2"/>
  <c r="EX13" i="2"/>
  <c r="EV13" i="2"/>
  <c r="ET13" i="2"/>
  <c r="ER13" i="2"/>
  <c r="EX12" i="2"/>
  <c r="EV12" i="2"/>
  <c r="ET12" i="2"/>
  <c r="ER12" i="2"/>
  <c r="EX11" i="2"/>
  <c r="EV11" i="2"/>
  <c r="ET11" i="2"/>
  <c r="ER11" i="2"/>
  <c r="EX10" i="2"/>
  <c r="EV10" i="2"/>
  <c r="ET10" i="2"/>
  <c r="ER10" i="2"/>
  <c r="EX9" i="2"/>
  <c r="EV9" i="2"/>
  <c r="ET9" i="2"/>
  <c r="ER9" i="2"/>
  <c r="EX5" i="2"/>
  <c r="EV5" i="2"/>
  <c r="ER5" i="2"/>
  <c r="EX4" i="2"/>
  <c r="EV4" i="2"/>
  <c r="ET7" i="2"/>
  <c r="ER4" i="2"/>
  <c r="EX1" i="2"/>
  <c r="EV1" i="2"/>
  <c r="ET1" i="2"/>
  <c r="ER1" i="2"/>
  <c r="AU62" i="3"/>
  <c r="AU45" i="3"/>
  <c r="AT55" i="2"/>
  <c r="AR55" i="2"/>
  <c r="AX47" i="2"/>
  <c r="AX57" i="2" s="1"/>
  <c r="AV47" i="2"/>
  <c r="AV57" i="2" s="1"/>
  <c r="AT47" i="2"/>
  <c r="AR47" i="2"/>
  <c r="AX20" i="2"/>
  <c r="AT7" i="2"/>
  <c r="AR7" i="2"/>
  <c r="AX52" i="1"/>
  <c r="AV52" i="1"/>
  <c r="AV56" i="1" s="1"/>
  <c r="EW25" i="4" l="1"/>
  <c r="EQ7" i="4"/>
  <c r="EU43" i="4"/>
  <c r="EW43" i="4"/>
  <c r="ET47" i="2"/>
  <c r="ET57" i="2" s="1"/>
  <c r="AT57" i="2"/>
  <c r="ER47" i="2"/>
  <c r="ER57" i="2" s="1"/>
  <c r="EW11" i="4"/>
  <c r="AR57" i="2"/>
  <c r="ES43" i="4"/>
  <c r="EW9" i="4"/>
  <c r="AW47" i="4"/>
  <c r="AV61" i="2"/>
  <c r="ET20" i="2"/>
  <c r="ET22" i="2" s="1"/>
  <c r="ET29" i="2" s="1"/>
  <c r="ES7" i="4"/>
  <c r="EV47" i="2"/>
  <c r="EV57" i="2" s="1"/>
  <c r="KZ19" i="10"/>
  <c r="KZ22" i="10" s="1"/>
  <c r="KZ24" i="10" s="1"/>
  <c r="ER7" i="2"/>
  <c r="ER20" i="2"/>
  <c r="EX57" i="2"/>
  <c r="AX69" i="12"/>
  <c r="EU20" i="4"/>
  <c r="LO45" i="10"/>
  <c r="LO48" i="10" s="1"/>
  <c r="EW21" i="4"/>
  <c r="AR87" i="12"/>
  <c r="AT87" i="12"/>
  <c r="AV87" i="12"/>
  <c r="AV89" i="12" s="1"/>
  <c r="EU10" i="4"/>
  <c r="LO19" i="10"/>
  <c r="LO22" i="10" s="1"/>
  <c r="LO51" i="10" s="1"/>
  <c r="LB31" i="10"/>
  <c r="EU14" i="4"/>
  <c r="EU4" i="4"/>
  <c r="EV20" i="2"/>
  <c r="EU18" i="4"/>
  <c r="EV7" i="2"/>
  <c r="EX7" i="2"/>
  <c r="AW7" i="4"/>
  <c r="AW16" i="4" s="1"/>
  <c r="AW23" i="4" s="1"/>
  <c r="EX20" i="2"/>
  <c r="EU5" i="4"/>
  <c r="EW5" i="4"/>
  <c r="EW7" i="4" s="1"/>
  <c r="EU13" i="4"/>
  <c r="EU56" i="4"/>
  <c r="AX85" i="12"/>
  <c r="EW19" i="4"/>
  <c r="EU12" i="4"/>
  <c r="EU61" i="13"/>
  <c r="AW6" i="13"/>
  <c r="AW44" i="13"/>
  <c r="AQ7" i="4"/>
  <c r="AQ16" i="4" s="1"/>
  <c r="AQ57" i="4" s="1"/>
  <c r="AS57" i="4"/>
  <c r="AS23" i="4"/>
  <c r="AS5" i="13" s="1"/>
  <c r="AU57" i="4"/>
  <c r="AU23" i="4"/>
  <c r="AU5" i="13" s="1"/>
  <c r="AX21" i="12"/>
  <c r="AT21" i="12"/>
  <c r="AT41" i="12" s="1"/>
  <c r="AV21" i="12"/>
  <c r="AV41" i="12" s="1"/>
  <c r="AX39" i="12"/>
  <c r="AX51" i="12"/>
  <c r="AX55" i="12" s="1"/>
  <c r="AR39" i="12"/>
  <c r="AR41" i="12" s="1"/>
  <c r="AR51" i="12"/>
  <c r="AR55" i="12" s="1"/>
  <c r="AT51" i="12"/>
  <c r="AT55" i="12" s="1"/>
  <c r="KB31" i="10"/>
  <c r="KF42" i="10"/>
  <c r="KN19" i="10"/>
  <c r="KN22" i="10" s="1"/>
  <c r="LF19" i="10"/>
  <c r="LF22" i="10" s="1"/>
  <c r="LF24" i="10" s="1"/>
  <c r="LK31" i="10"/>
  <c r="LD5" i="10"/>
  <c r="LD19" i="10" s="1"/>
  <c r="LD22" i="10" s="1"/>
  <c r="LD24" i="10" s="1"/>
  <c r="LD46" i="10"/>
  <c r="KP32" i="10"/>
  <c r="LK10" i="10"/>
  <c r="KB37" i="10"/>
  <c r="KX40" i="10"/>
  <c r="KJ41" i="10"/>
  <c r="KJ37" i="10"/>
  <c r="JX10" i="10"/>
  <c r="JX19" i="10" s="1"/>
  <c r="JX22" i="10" s="1"/>
  <c r="JX24" i="10" s="1"/>
  <c r="KZ40" i="10"/>
  <c r="KL41" i="10"/>
  <c r="KJ33" i="10"/>
  <c r="KJ5" i="10"/>
  <c r="KX46" i="10"/>
  <c r="LH20" i="10"/>
  <c r="KX41" i="10"/>
  <c r="KN34" i="10"/>
  <c r="KX39" i="10"/>
  <c r="KX33" i="10"/>
  <c r="KX31" i="10" s="1"/>
  <c r="KJ43" i="10"/>
  <c r="KB5" i="10"/>
  <c r="KF5" i="10" s="1"/>
  <c r="LD33" i="10"/>
  <c r="LD31" i="10" s="1"/>
  <c r="JX34" i="10"/>
  <c r="KP34" i="10"/>
  <c r="KL40" i="10"/>
  <c r="KX43" i="10"/>
  <c r="KX19" i="10"/>
  <c r="KX22" i="10" s="1"/>
  <c r="KX24" i="10" s="1"/>
  <c r="LQ31" i="10"/>
  <c r="KJ34" i="10"/>
  <c r="KL43" i="10"/>
  <c r="JX46" i="10"/>
  <c r="LB43" i="10"/>
  <c r="LB36" i="10" s="1"/>
  <c r="LB5" i="10"/>
  <c r="KN32" i="10"/>
  <c r="JZ33" i="10"/>
  <c r="KF33" i="10" s="1"/>
  <c r="KX37" i="10"/>
  <c r="KF7" i="10"/>
  <c r="JD33" i="10" s="1"/>
  <c r="JZ10" i="10"/>
  <c r="JZ19" i="10" s="1"/>
  <c r="JZ22" i="10" s="1"/>
  <c r="KB39" i="10"/>
  <c r="LD39" i="10"/>
  <c r="KJ40" i="10"/>
  <c r="KN41" i="10"/>
  <c r="KN36" i="10" s="1"/>
  <c r="KX42" i="10"/>
  <c r="KJ46" i="10"/>
  <c r="KL33" i="10"/>
  <c r="LF33" i="10"/>
  <c r="JZ34" i="10"/>
  <c r="LB10" i="10"/>
  <c r="LH10" i="10" s="1"/>
  <c r="JZ38" i="10"/>
  <c r="JZ36" i="10" s="1"/>
  <c r="KJ39" i="10"/>
  <c r="KZ43" i="10"/>
  <c r="LB51" i="10"/>
  <c r="KZ42" i="10"/>
  <c r="ET73" i="2"/>
  <c r="AV7" i="2"/>
  <c r="AV73" i="2" s="1"/>
  <c r="AX7" i="2"/>
  <c r="AX22" i="2" s="1"/>
  <c r="AX29" i="2" s="1"/>
  <c r="AW5" i="3" s="1"/>
  <c r="AV20" i="2"/>
  <c r="AT73" i="2"/>
  <c r="AR20" i="2"/>
  <c r="AR22" i="2" s="1"/>
  <c r="AR29" i="2" s="1"/>
  <c r="AQ5" i="3" s="1"/>
  <c r="AT20" i="2"/>
  <c r="AT22" i="2" s="1"/>
  <c r="AT29" i="2" s="1"/>
  <c r="AS5" i="3" s="1"/>
  <c r="AV86" i="1"/>
  <c r="AX56" i="1"/>
  <c r="AR52" i="1"/>
  <c r="AR56" i="1" s="1"/>
  <c r="AR88" i="1"/>
  <c r="AT52" i="1"/>
  <c r="AT56" i="1" s="1"/>
  <c r="AT88" i="1"/>
  <c r="EQ57" i="4" l="1"/>
  <c r="EQ16" i="4"/>
  <c r="EQ23" i="4" s="1"/>
  <c r="EQ27" i="4" s="1"/>
  <c r="EQ32" i="4" s="1"/>
  <c r="IX31" i="10"/>
  <c r="AQ23" i="4"/>
  <c r="EQ5" i="3"/>
  <c r="AT61" i="2"/>
  <c r="AU47" i="4"/>
  <c r="ES16" i="4"/>
  <c r="ES23" i="4" s="1"/>
  <c r="ES27" i="4" s="1"/>
  <c r="ES32" i="4" s="1"/>
  <c r="ES45" i="4" s="1"/>
  <c r="AT89" i="12"/>
  <c r="AT91" i="12" s="1"/>
  <c r="ER22" i="2"/>
  <c r="ER29" i="2" s="1"/>
  <c r="ER33" i="2" s="1"/>
  <c r="ER38" i="2" s="1"/>
  <c r="ER59" i="2" s="1"/>
  <c r="LH5" i="10"/>
  <c r="LH19" i="10" s="1"/>
  <c r="LH22" i="10" s="1"/>
  <c r="LH24" i="10"/>
  <c r="ES5" i="13"/>
  <c r="AU22" i="13"/>
  <c r="ET75" i="2"/>
  <c r="ES57" i="4"/>
  <c r="AT33" i="2"/>
  <c r="AT38" i="2" s="1"/>
  <c r="JZ31" i="10"/>
  <c r="JZ45" i="10" s="1"/>
  <c r="JZ48" i="10" s="1"/>
  <c r="AR89" i="12"/>
  <c r="AR91" i="12" s="1"/>
  <c r="AR33" i="2"/>
  <c r="AR38" i="2" s="1"/>
  <c r="KN31" i="10"/>
  <c r="KN45" i="10" s="1"/>
  <c r="KN48" i="10" s="1"/>
  <c r="KT33" i="10"/>
  <c r="ET33" i="2"/>
  <c r="ET38" i="2" s="1"/>
  <c r="ET59" i="2" s="1"/>
  <c r="AU27" i="4"/>
  <c r="AU32" i="4" s="1"/>
  <c r="AV22" i="2"/>
  <c r="AV29" i="2" s="1"/>
  <c r="AU5" i="3" s="1"/>
  <c r="AS27" i="4"/>
  <c r="AS32" i="4" s="1"/>
  <c r="AX87" i="12"/>
  <c r="AX89" i="12" s="1"/>
  <c r="AV88" i="1"/>
  <c r="AV90" i="1" s="1"/>
  <c r="LB45" i="10"/>
  <c r="LB48" i="10" s="1"/>
  <c r="EV22" i="2"/>
  <c r="EV29" i="2" s="1"/>
  <c r="EV33" i="2" s="1"/>
  <c r="EV38" i="2" s="1"/>
  <c r="EV59" i="2" s="1"/>
  <c r="EU7" i="4"/>
  <c r="EW5" i="3"/>
  <c r="EX22" i="2"/>
  <c r="EX29" i="2" s="1"/>
  <c r="EX33" i="2" s="1"/>
  <c r="EX38" i="2" s="1"/>
  <c r="EX59" i="2" s="1"/>
  <c r="EW16" i="4"/>
  <c r="EW23" i="4" s="1"/>
  <c r="EW27" i="4" s="1"/>
  <c r="EW32" i="4" s="1"/>
  <c r="EW45" i="4" s="1"/>
  <c r="AW57" i="4"/>
  <c r="EW57" i="4" s="1"/>
  <c r="AX33" i="2"/>
  <c r="AX38" i="2" s="1"/>
  <c r="EW44" i="13"/>
  <c r="EU44" i="13"/>
  <c r="EW6" i="13"/>
  <c r="EU6" i="13"/>
  <c r="AW27" i="4"/>
  <c r="AW32" i="4" s="1"/>
  <c r="AW5" i="13"/>
  <c r="AV91" i="12"/>
  <c r="AX41" i="12"/>
  <c r="KB19" i="10"/>
  <c r="KB22" i="10" s="1"/>
  <c r="KB24" i="10" s="1"/>
  <c r="KP31" i="10"/>
  <c r="KJ31" i="10"/>
  <c r="LH33" i="10"/>
  <c r="LK36" i="10"/>
  <c r="LH42" i="10"/>
  <c r="KX36" i="10"/>
  <c r="LB19" i="10"/>
  <c r="LB22" i="10" s="1"/>
  <c r="KJ36" i="10"/>
  <c r="KJ19" i="10"/>
  <c r="KJ22" i="10" s="1"/>
  <c r="KJ24" i="10" s="1"/>
  <c r="LK19" i="10"/>
  <c r="LK22" i="10" s="1"/>
  <c r="LK24" i="10" s="1"/>
  <c r="KX51" i="10" s="1"/>
  <c r="AT75" i="2"/>
  <c r="AX88" i="1"/>
  <c r="AX90" i="1" s="1"/>
  <c r="AR90" i="1"/>
  <c r="AT90" i="1"/>
  <c r="AR41" i="1"/>
  <c r="AT41" i="1"/>
  <c r="AX41" i="1"/>
  <c r="AV41" i="1"/>
  <c r="MH16" i="10"/>
  <c r="JV51" i="10" l="1"/>
  <c r="AR61" i="2"/>
  <c r="AS47" i="4"/>
  <c r="AS48" i="4" s="1"/>
  <c r="AS49" i="4" s="1"/>
  <c r="AQ27" i="4"/>
  <c r="AQ32" i="4" s="1"/>
  <c r="AQ5" i="13"/>
  <c r="AR59" i="2"/>
  <c r="KJ51" i="10"/>
  <c r="AT62" i="2"/>
  <c r="AT63" i="2" s="1"/>
  <c r="AT92" i="1"/>
  <c r="AT59" i="2"/>
  <c r="EU16" i="4"/>
  <c r="EU23" i="4" s="1"/>
  <c r="EU27" i="4" s="1"/>
  <c r="EU32" i="4" s="1"/>
  <c r="EU45" i="4" s="1"/>
  <c r="ES5" i="3"/>
  <c r="AU23" i="3"/>
  <c r="EU5" i="3"/>
  <c r="AU63" i="13"/>
  <c r="AV92" i="1"/>
  <c r="AU45" i="4"/>
  <c r="AU48" i="4"/>
  <c r="AU49" i="4" s="1"/>
  <c r="AV75" i="2"/>
  <c r="AV33" i="2"/>
  <c r="AV38" i="2" s="1"/>
  <c r="AV62" i="2" s="1"/>
  <c r="AV63" i="2" s="1"/>
  <c r="AS45" i="4"/>
  <c r="AR92" i="1"/>
  <c r="AX91" i="12"/>
  <c r="EU57" i="4"/>
  <c r="AW48" i="4"/>
  <c r="AW49" i="4" s="1"/>
  <c r="AX59" i="2"/>
  <c r="AX62" i="2"/>
  <c r="AX63" i="2" s="1"/>
  <c r="AW45" i="4"/>
  <c r="EW5" i="13"/>
  <c r="EU5" i="13"/>
  <c r="AW22" i="13"/>
  <c r="KX45" i="10"/>
  <c r="KX48" i="10" s="1"/>
  <c r="LK45" i="10"/>
  <c r="LK48" i="10" s="1"/>
  <c r="LK51" i="10" s="1"/>
  <c r="KJ45" i="10"/>
  <c r="KJ48" i="10" s="1"/>
  <c r="MH20" i="10"/>
  <c r="AX92" i="1"/>
  <c r="MH15" i="10"/>
  <c r="MH17" i="10"/>
  <c r="AQ47" i="4" l="1"/>
  <c r="AQ48" i="4" s="1"/>
  <c r="AQ49" i="4" s="1"/>
  <c r="AP61" i="2"/>
  <c r="AR62" i="2"/>
  <c r="AR63" i="2" s="1"/>
  <c r="EQ5" i="13"/>
  <c r="AU64" i="3"/>
  <c r="AV59" i="2"/>
  <c r="AW63" i="13"/>
  <c r="EU22" i="13"/>
  <c r="EW22" i="13"/>
  <c r="AO47" i="4" l="1"/>
  <c r="AO48" i="4" s="1"/>
  <c r="AO49" i="4" s="1"/>
  <c r="AN61" i="2"/>
  <c r="AL61" i="2" s="1"/>
  <c r="AJ61" i="2" s="1"/>
  <c r="AH61" i="2" s="1"/>
  <c r="AP62" i="2"/>
  <c r="AP63" i="2" s="1"/>
  <c r="EW63" i="13"/>
  <c r="EU63" i="13"/>
  <c r="AF61" i="2" l="1"/>
  <c r="AD61" i="2" s="1"/>
  <c r="AG47" i="4"/>
  <c r="AG48" i="4" s="1"/>
  <c r="AG49" i="4" s="1"/>
  <c r="AH62" i="2"/>
  <c r="AH63" i="2" s="1"/>
  <c r="AI47" i="4"/>
  <c r="AI48" i="4" s="1"/>
  <c r="AI49" i="4" s="1"/>
  <c r="AJ62" i="2"/>
  <c r="AJ63" i="2" s="1"/>
  <c r="AK47" i="4"/>
  <c r="AK48" i="4" s="1"/>
  <c r="AK49" i="4" s="1"/>
  <c r="AL62" i="2"/>
  <c r="AL63" i="2" s="1"/>
  <c r="AM47" i="4"/>
  <c r="AM48" i="4" s="1"/>
  <c r="AM49" i="4" s="1"/>
  <c r="AN62" i="2"/>
  <c r="AN63" i="2" s="1"/>
  <c r="AC47" i="4" l="1"/>
  <c r="AC48" i="4" s="1"/>
  <c r="AC49" i="4" s="1"/>
  <c r="AB61" i="2"/>
  <c r="Z61" i="2" s="1"/>
  <c r="Y47" i="4" s="1"/>
  <c r="Y48" i="4" s="1"/>
  <c r="Y49" i="4" s="1"/>
  <c r="AE47" i="4"/>
  <c r="AE48" i="4" s="1"/>
  <c r="AE49" i="4" s="1"/>
  <c r="AF62" i="2"/>
  <c r="AF63" i="2" s="1"/>
  <c r="FG45" i="3"/>
  <c r="FG6" i="3"/>
  <c r="FG23" i="3" s="1"/>
  <c r="FG62" i="3"/>
  <c r="AB62" i="2" l="1"/>
  <c r="AB63" i="2" s="1"/>
  <c r="AA47" i="4"/>
  <c r="AA48" i="4" s="1"/>
  <c r="AA49" i="4" s="1"/>
  <c r="FG64" i="3"/>
  <c r="FG56" i="4"/>
  <c r="X61" i="2" l="1"/>
  <c r="W47" i="4" s="1"/>
  <c r="W48" i="4" s="1"/>
  <c r="W49" i="4" s="1"/>
  <c r="V61" i="2" l="1"/>
  <c r="U47" i="4" s="1"/>
  <c r="U48" i="4" s="1"/>
  <c r="U49" i="4" s="1"/>
  <c r="X62" i="2"/>
  <c r="X63" i="2" s="1"/>
  <c r="FG22" i="13"/>
  <c r="FG44" i="13"/>
  <c r="FG61" i="13"/>
  <c r="T61" i="2" l="1"/>
  <c r="R61" i="2" s="1"/>
  <c r="FG63" i="13"/>
  <c r="R62" i="2" l="1"/>
  <c r="R63" i="2" s="1"/>
  <c r="P61" i="2"/>
  <c r="N61" i="2" s="1"/>
  <c r="S47" i="4"/>
  <c r="EY54" i="3"/>
  <c r="EZ55" i="2"/>
  <c r="EZ46" i="2"/>
  <c r="EY40" i="4"/>
  <c r="EY38" i="4"/>
  <c r="EY37" i="4"/>
  <c r="EY36" i="4"/>
  <c r="EY35" i="4"/>
  <c r="EY34" i="4"/>
  <c r="EY30" i="4"/>
  <c r="AZ55" i="2"/>
  <c r="EZ36" i="2"/>
  <c r="AZ72" i="2"/>
  <c r="L61" i="2" l="1"/>
  <c r="J61" i="2" s="1"/>
  <c r="J62" i="2" s="1"/>
  <c r="J63" i="2" s="1"/>
  <c r="N62" i="2"/>
  <c r="N63" i="2" s="1"/>
  <c r="S48" i="4"/>
  <c r="S49" i="4" s="1"/>
  <c r="Q47" i="4"/>
  <c r="AZ21" i="1"/>
  <c r="AZ86" i="1"/>
  <c r="AZ52" i="1"/>
  <c r="AZ56" i="1" s="1"/>
  <c r="AZ7" i="2"/>
  <c r="AZ20" i="2"/>
  <c r="AZ39" i="1"/>
  <c r="AZ47" i="2"/>
  <c r="AZ57" i="2" s="1"/>
  <c r="AY62" i="3"/>
  <c r="AZ70" i="1"/>
  <c r="AY6" i="3"/>
  <c r="EZ41" i="2"/>
  <c r="EZ47" i="2" s="1"/>
  <c r="EZ57" i="2" s="1"/>
  <c r="AY45" i="3"/>
  <c r="EY53" i="13"/>
  <c r="EY41" i="4"/>
  <c r="EY39" i="4"/>
  <c r="L62" i="2" l="1"/>
  <c r="L63" i="2" s="1"/>
  <c r="Q48" i="4"/>
  <c r="Q49" i="4" s="1"/>
  <c r="O47" i="4"/>
  <c r="M47" i="4" s="1"/>
  <c r="AZ41" i="1"/>
  <c r="AZ88" i="1"/>
  <c r="AZ90" i="1" s="1"/>
  <c r="EY43" i="4"/>
  <c r="AZ22" i="2"/>
  <c r="AY61" i="13"/>
  <c r="AY6" i="13"/>
  <c r="K47" i="4" l="1"/>
  <c r="I47" i="4" s="1"/>
  <c r="I48" i="4" s="1"/>
  <c r="I49" i="4" s="1"/>
  <c r="M48" i="4"/>
  <c r="M49" i="4" s="1"/>
  <c r="AZ92" i="1"/>
  <c r="AZ29" i="2"/>
  <c r="AZ33" i="2" s="1"/>
  <c r="AZ38" i="2" s="1"/>
  <c r="AZ59" i="2" s="1"/>
  <c r="AY44" i="13"/>
  <c r="AY43" i="4"/>
  <c r="K48" i="4" l="1"/>
  <c r="K49" i="4" s="1"/>
  <c r="AY5" i="3"/>
  <c r="AY23" i="3" s="1"/>
  <c r="AY64" i="3" s="1"/>
  <c r="AZ51" i="12"/>
  <c r="AZ55" i="12" s="1"/>
  <c r="AY7" i="4"/>
  <c r="AY16" i="4" s="1"/>
  <c r="AZ21" i="12"/>
  <c r="AZ85" i="12"/>
  <c r="AZ69" i="12"/>
  <c r="AZ39" i="12"/>
  <c r="AZ41" i="12" l="1"/>
  <c r="AZ87" i="12"/>
  <c r="AZ89" i="12" s="1"/>
  <c r="AY23" i="4"/>
  <c r="AY27" i="4" s="1"/>
  <c r="AY32" i="4" s="1"/>
  <c r="AY57" i="4"/>
  <c r="AZ91" i="12" l="1"/>
  <c r="AY5" i="13"/>
  <c r="AY22" i="13" s="1"/>
  <c r="AY63" i="13" s="1"/>
  <c r="AY45" i="4"/>
  <c r="MB51" i="10"/>
  <c r="MF46" i="10"/>
  <c r="MD46" i="10"/>
  <c r="MB46" i="10"/>
  <c r="LZ46" i="10"/>
  <c r="LX46" i="10"/>
  <c r="MF43" i="10"/>
  <c r="MF42" i="10"/>
  <c r="MF41" i="10"/>
  <c r="MF40" i="10"/>
  <c r="MF39" i="10"/>
  <c r="MF38" i="10"/>
  <c r="MF37" i="10"/>
  <c r="MD43" i="10"/>
  <c r="MD42" i="10"/>
  <c r="MD41" i="10"/>
  <c r="MD40" i="10"/>
  <c r="MD39" i="10"/>
  <c r="MD38" i="10"/>
  <c r="MD37" i="10"/>
  <c r="MB43" i="10"/>
  <c r="MB42" i="10"/>
  <c r="MB41" i="10"/>
  <c r="MB40" i="10"/>
  <c r="MB39" i="10"/>
  <c r="MB38" i="10"/>
  <c r="MB37" i="10"/>
  <c r="LZ43" i="10"/>
  <c r="LZ42" i="10"/>
  <c r="LZ41" i="10"/>
  <c r="LZ40" i="10"/>
  <c r="LZ39" i="10"/>
  <c r="LZ38" i="10"/>
  <c r="LZ37" i="10"/>
  <c r="LX43" i="10"/>
  <c r="LX42" i="10"/>
  <c r="LX41" i="10"/>
  <c r="LX40" i="10"/>
  <c r="LX39" i="10"/>
  <c r="LX38" i="10"/>
  <c r="LX37" i="10"/>
  <c r="MF34" i="10"/>
  <c r="MF33" i="10"/>
  <c r="MF32" i="10"/>
  <c r="MD34" i="10"/>
  <c r="MD33" i="10"/>
  <c r="MD32" i="10"/>
  <c r="MB34" i="10"/>
  <c r="MB33" i="10"/>
  <c r="MB32" i="10"/>
  <c r="LZ34" i="10"/>
  <c r="LZ33" i="10"/>
  <c r="LZ32" i="10"/>
  <c r="LX34" i="10"/>
  <c r="LX33" i="10"/>
  <c r="LX32" i="10"/>
  <c r="MH37" i="10" l="1"/>
  <c r="MH39" i="10"/>
  <c r="MH41" i="10"/>
  <c r="MH32" i="10"/>
  <c r="MH40" i="10"/>
  <c r="MH42" i="10"/>
  <c r="MH38" i="10"/>
  <c r="MH43" i="10"/>
  <c r="FA54" i="3"/>
  <c r="EY61" i="3"/>
  <c r="EY60" i="3"/>
  <c r="EY59" i="3"/>
  <c r="EY58" i="3"/>
  <c r="EY57" i="3"/>
  <c r="EY56" i="3"/>
  <c r="EY55" i="3"/>
  <c r="EY53" i="3"/>
  <c r="EY51" i="3"/>
  <c r="EY49" i="3"/>
  <c r="EY44" i="3"/>
  <c r="EY41" i="3"/>
  <c r="EY39" i="3"/>
  <c r="EY36" i="3"/>
  <c r="EY35" i="3"/>
  <c r="EY33" i="3"/>
  <c r="EY32" i="3"/>
  <c r="EY31" i="3"/>
  <c r="EY30" i="3"/>
  <c r="EY28" i="3"/>
  <c r="EY27" i="3"/>
  <c r="EY20" i="3"/>
  <c r="EY13" i="3"/>
  <c r="EY12" i="3"/>
  <c r="EY11" i="3"/>
  <c r="EY10" i="3"/>
  <c r="EY9" i="3"/>
  <c r="EY8" i="3"/>
  <c r="FA53" i="13" l="1"/>
  <c r="EY60" i="13"/>
  <c r="EY59" i="13"/>
  <c r="EY58" i="13"/>
  <c r="EY57" i="13"/>
  <c r="EY56" i="13"/>
  <c r="EY55" i="13"/>
  <c r="EY54" i="13"/>
  <c r="EY52" i="13"/>
  <c r="EY51" i="13"/>
  <c r="EY50" i="13"/>
  <c r="EY49" i="13"/>
  <c r="EY48" i="13"/>
  <c r="EY43" i="13"/>
  <c r="EY42" i="13"/>
  <c r="EY41" i="13"/>
  <c r="EY40" i="13"/>
  <c r="EY39" i="13"/>
  <c r="EY38" i="13"/>
  <c r="EY37" i="13"/>
  <c r="EY35" i="13"/>
  <c r="EY34" i="13"/>
  <c r="EY33" i="13"/>
  <c r="EY32" i="13"/>
  <c r="EY31" i="13"/>
  <c r="EY30" i="13"/>
  <c r="EY29" i="13"/>
  <c r="EY28" i="13"/>
  <c r="EY27" i="13"/>
  <c r="EY26" i="13"/>
  <c r="EY21" i="13"/>
  <c r="EY20" i="13"/>
  <c r="EY19" i="13"/>
  <c r="EY18" i="13"/>
  <c r="EY17" i="13"/>
  <c r="EY16" i="13"/>
  <c r="EY15" i="13"/>
  <c r="EY14" i="13"/>
  <c r="EY13" i="13"/>
  <c r="EY12" i="13"/>
  <c r="EY11" i="13"/>
  <c r="EY10" i="13"/>
  <c r="EY9" i="13"/>
  <c r="EY7" i="13"/>
  <c r="EY5" i="13"/>
  <c r="FA41" i="4"/>
  <c r="FA40" i="4"/>
  <c r="FA39" i="4"/>
  <c r="FA38" i="4"/>
  <c r="FA37" i="4"/>
  <c r="FA36" i="4"/>
  <c r="FA35" i="4"/>
  <c r="FA34" i="4"/>
  <c r="FA30" i="4"/>
  <c r="EY56" i="4"/>
  <c r="EY25" i="4"/>
  <c r="EY21" i="4"/>
  <c r="EY20" i="4"/>
  <c r="EY19" i="4"/>
  <c r="EY18" i="4"/>
  <c r="EY14" i="4"/>
  <c r="EY13" i="4"/>
  <c r="EY12" i="4"/>
  <c r="EY11" i="4"/>
  <c r="EY10" i="4"/>
  <c r="EY9" i="4"/>
  <c r="EY5" i="4"/>
  <c r="EY4" i="4"/>
  <c r="BA43" i="4"/>
  <c r="FA43" i="4" l="1"/>
  <c r="EY7" i="4"/>
  <c r="BB51" i="12"/>
  <c r="BB55" i="12" s="1"/>
  <c r="BB21" i="12"/>
  <c r="BB39" i="12"/>
  <c r="BB69" i="12"/>
  <c r="BB85" i="12"/>
  <c r="BA44" i="13"/>
  <c r="EY44" i="13" s="1"/>
  <c r="BA6" i="13"/>
  <c r="EY6" i="13" s="1"/>
  <c r="BA61" i="13"/>
  <c r="EY61" i="13" s="1"/>
  <c r="BA7" i="4"/>
  <c r="BA16" i="4" s="1"/>
  <c r="EY16" i="4" l="1"/>
  <c r="EY23" i="4" s="1"/>
  <c r="BB87" i="12"/>
  <c r="BB89" i="12" s="1"/>
  <c r="BB41" i="12"/>
  <c r="BA23" i="4"/>
  <c r="BA27" i="4" s="1"/>
  <c r="BA32" i="4" s="1"/>
  <c r="BA45" i="4" s="1"/>
  <c r="BA57" i="4"/>
  <c r="EY57" i="4" s="1"/>
  <c r="BA22" i="13"/>
  <c r="EY22" i="13" s="1"/>
  <c r="EY27" i="4" l="1"/>
  <c r="EY32" i="4" s="1"/>
  <c r="EY45" i="4" s="1"/>
  <c r="BB91" i="12"/>
  <c r="BA63" i="13"/>
  <c r="EY63" i="13" s="1"/>
  <c r="MV42" i="10" l="1"/>
  <c r="MV16" i="10"/>
  <c r="FB55" i="2"/>
  <c r="FB46" i="2"/>
  <c r="FB41" i="2"/>
  <c r="FB36" i="2"/>
  <c r="FB47" i="2" l="1"/>
  <c r="FB57" i="2" s="1"/>
  <c r="EZ70" i="2"/>
  <c r="EZ69" i="2"/>
  <c r="EZ68" i="2"/>
  <c r="EZ67" i="2"/>
  <c r="BB55" i="2"/>
  <c r="BB47" i="2"/>
  <c r="BD47" i="2"/>
  <c r="BD57" i="2" s="1"/>
  <c r="EZ27" i="2"/>
  <c r="EZ26" i="2"/>
  <c r="EZ25" i="2"/>
  <c r="EZ24" i="2"/>
  <c r="EZ5" i="2"/>
  <c r="EZ4" i="2"/>
  <c r="BB57" i="2" l="1"/>
  <c r="EZ7" i="2"/>
  <c r="BB12" i="1"/>
  <c r="BB21" i="1" s="1"/>
  <c r="BB26" i="1"/>
  <c r="BB39" i="1" s="1"/>
  <c r="BB75" i="1"/>
  <c r="BB86" i="1" s="1"/>
  <c r="BB61" i="1"/>
  <c r="BB70" i="1" s="1"/>
  <c r="BB7" i="2"/>
  <c r="BB41" i="1" l="1"/>
  <c r="BB88" i="1"/>
  <c r="OB41" i="10"/>
  <c r="ND42" i="10"/>
  <c r="MP51" i="10"/>
  <c r="MT43" i="10"/>
  <c r="MN43" i="10"/>
  <c r="ML43" i="10"/>
  <c r="NJ16" i="10"/>
  <c r="MN40" i="10"/>
  <c r="ML41" i="10"/>
  <c r="ML40" i="10"/>
  <c r="MT33" i="10"/>
  <c r="MT32" i="10"/>
  <c r="MR33" i="10"/>
  <c r="MR32" i="10"/>
  <c r="FC54" i="3"/>
  <c r="FA61" i="3"/>
  <c r="FA60" i="3"/>
  <c r="FA59" i="3"/>
  <c r="FA58" i="3"/>
  <c r="FA57" i="3"/>
  <c r="FA56" i="3"/>
  <c r="FA55" i="3"/>
  <c r="FA53" i="3"/>
  <c r="FA51" i="3"/>
  <c r="FA49" i="3"/>
  <c r="FA44" i="3"/>
  <c r="FA41" i="3"/>
  <c r="FA39" i="3"/>
  <c r="FA36" i="3"/>
  <c r="FA35" i="3"/>
  <c r="FA33" i="3"/>
  <c r="FA32" i="3"/>
  <c r="FA31" i="3"/>
  <c r="FA30" i="3"/>
  <c r="FA28" i="3"/>
  <c r="FA27" i="3"/>
  <c r="FA13" i="3"/>
  <c r="FA12" i="3"/>
  <c r="FA11" i="3"/>
  <c r="FA10" i="3"/>
  <c r="FA9" i="3"/>
  <c r="FA8" i="3"/>
  <c r="FD55" i="2"/>
  <c r="FD46" i="2"/>
  <c r="FD41" i="2"/>
  <c r="FD36" i="2"/>
  <c r="FD16" i="2"/>
  <c r="FB27" i="2"/>
  <c r="FB26" i="2"/>
  <c r="FB25" i="2"/>
  <c r="FB24" i="2"/>
  <c r="FD70" i="2"/>
  <c r="FB69" i="2"/>
  <c r="FB68" i="2"/>
  <c r="FB67" i="2"/>
  <c r="FB5" i="2"/>
  <c r="FB4" i="2"/>
  <c r="BH70" i="1" l="1"/>
  <c r="BC6" i="3"/>
  <c r="BC23" i="3" s="1"/>
  <c r="FD47" i="2"/>
  <c r="FD57" i="2" s="1"/>
  <c r="FA20" i="3"/>
  <c r="NB41" i="10"/>
  <c r="MN41" i="10"/>
  <c r="ND33" i="10"/>
  <c r="MP33" i="10"/>
  <c r="NH41" i="10"/>
  <c r="ND37" i="10"/>
  <c r="MP37" i="10"/>
  <c r="NF41" i="10"/>
  <c r="MR41" i="10"/>
  <c r="ND39" i="10"/>
  <c r="MP39" i="10"/>
  <c r="ND40" i="10"/>
  <c r="MP40" i="10"/>
  <c r="ND34" i="10"/>
  <c r="MP34" i="10"/>
  <c r="ND46" i="10"/>
  <c r="ND38" i="10"/>
  <c r="MP38" i="10"/>
  <c r="ND32" i="10"/>
  <c r="MP32" i="10"/>
  <c r="BD75" i="1"/>
  <c r="BD86" i="1" s="1"/>
  <c r="FD11" i="2"/>
  <c r="NJ24" i="10"/>
  <c r="BD26" i="1"/>
  <c r="BD39" i="1" s="1"/>
  <c r="FB70" i="2"/>
  <c r="FB7" i="2"/>
  <c r="FD15" i="2"/>
  <c r="FD12" i="2"/>
  <c r="FD10" i="2"/>
  <c r="FD9" i="2"/>
  <c r="FD17" i="2"/>
  <c r="FD72" i="2" s="1"/>
  <c r="FD18" i="2"/>
  <c r="FD14" i="2"/>
  <c r="NZ41" i="10"/>
  <c r="OJ41" i="10" s="1"/>
  <c r="OJ15" i="10"/>
  <c r="FD13" i="2"/>
  <c r="BC45" i="3"/>
  <c r="OJ24" i="10"/>
  <c r="BD70" i="1"/>
  <c r="BD52" i="1"/>
  <c r="BD56" i="1" s="1"/>
  <c r="BD21" i="1"/>
  <c r="BC62" i="3"/>
  <c r="NJ15" i="10"/>
  <c r="MZ41" i="10"/>
  <c r="NJ17" i="10"/>
  <c r="BD20" i="2"/>
  <c r="BD7" i="2"/>
  <c r="BD73" i="2" s="1"/>
  <c r="BD88" i="1" l="1"/>
  <c r="BD90" i="1" s="1"/>
  <c r="FD20" i="2"/>
  <c r="BD41" i="1"/>
  <c r="BC64" i="3"/>
  <c r="BD22" i="2"/>
  <c r="BD92" i="1" l="1"/>
  <c r="BD29" i="2"/>
  <c r="BD33" i="2" s="1"/>
  <c r="BD38" i="2" s="1"/>
  <c r="BD59" i="2" s="1"/>
  <c r="BD75" i="2"/>
  <c r="FC53" i="13" l="1"/>
  <c r="FC41" i="4" l="1"/>
  <c r="FC40" i="4"/>
  <c r="FC39" i="4"/>
  <c r="FC38" i="4"/>
  <c r="FC37" i="4"/>
  <c r="FC36" i="4"/>
  <c r="FC35" i="4"/>
  <c r="FC34" i="4"/>
  <c r="FC30" i="4"/>
  <c r="FC43" i="4" l="1"/>
  <c r="BD62" i="2" l="1"/>
  <c r="BD63" i="2" s="1"/>
  <c r="BB61" i="2"/>
  <c r="BC47" i="4"/>
  <c r="BA47" i="4" l="1"/>
  <c r="BA48" i="4" s="1"/>
  <c r="BA49" i="4" s="1"/>
  <c r="AZ61" i="2"/>
  <c r="FA60" i="13"/>
  <c r="FA59" i="13"/>
  <c r="FA58" i="13"/>
  <c r="FA57" i="13"/>
  <c r="FA56" i="13"/>
  <c r="FA55" i="13"/>
  <c r="FA54" i="13"/>
  <c r="FA52" i="13"/>
  <c r="FA51" i="13"/>
  <c r="FA50" i="13"/>
  <c r="FA49" i="13"/>
  <c r="FA48" i="13"/>
  <c r="FA42" i="13"/>
  <c r="FA41" i="13"/>
  <c r="FA40" i="13"/>
  <c r="FA39" i="13"/>
  <c r="FA38" i="13"/>
  <c r="FA37" i="13"/>
  <c r="FA35" i="13"/>
  <c r="FA34" i="13"/>
  <c r="FA33" i="13"/>
  <c r="FA32" i="13"/>
  <c r="FA31" i="13"/>
  <c r="FA30" i="13"/>
  <c r="FA29" i="13"/>
  <c r="FA28" i="13"/>
  <c r="FA27" i="13"/>
  <c r="FA26" i="13"/>
  <c r="FA21" i="13"/>
  <c r="FA19" i="13"/>
  <c r="FA18" i="13"/>
  <c r="FA17" i="13"/>
  <c r="FA16" i="13"/>
  <c r="FA15" i="13"/>
  <c r="FA14" i="13"/>
  <c r="FA13" i="13"/>
  <c r="FA12" i="13"/>
  <c r="FA11" i="13"/>
  <c r="FA10" i="13"/>
  <c r="FA9" i="13"/>
  <c r="FA7" i="13"/>
  <c r="FA5" i="13"/>
  <c r="FA56" i="4"/>
  <c r="FA25" i="4"/>
  <c r="FA21" i="4"/>
  <c r="FA20" i="4"/>
  <c r="FA19" i="4"/>
  <c r="FA18" i="4"/>
  <c r="FA14" i="4"/>
  <c r="FA12" i="4"/>
  <c r="FA11" i="4"/>
  <c r="FA10" i="4"/>
  <c r="FA9" i="4"/>
  <c r="BC43" i="4"/>
  <c r="FA5" i="4"/>
  <c r="FA4" i="4"/>
  <c r="AZ62" i="2" l="1"/>
  <c r="AZ63" i="2" s="1"/>
  <c r="AY47" i="4"/>
  <c r="AY48" i="4" s="1"/>
  <c r="AY49" i="4" s="1"/>
  <c r="FA7" i="4"/>
  <c r="FC13" i="4"/>
  <c r="FA13" i="4"/>
  <c r="FC43" i="13"/>
  <c r="FA43" i="13"/>
  <c r="FC20" i="13"/>
  <c r="FA20" i="13"/>
  <c r="BG28" i="13"/>
  <c r="BG44" i="13" s="1"/>
  <c r="BD51" i="12"/>
  <c r="BD55" i="12" s="1"/>
  <c r="BC61" i="13"/>
  <c r="FA61" i="13" s="1"/>
  <c r="BD69" i="12"/>
  <c r="BD39" i="12"/>
  <c r="BC7" i="4"/>
  <c r="BC16" i="4" s="1"/>
  <c r="BC57" i="4" s="1"/>
  <c r="FA57" i="4" s="1"/>
  <c r="BC44" i="13"/>
  <c r="FA44" i="13" s="1"/>
  <c r="BD21" i="12"/>
  <c r="BC6" i="13"/>
  <c r="FA6" i="13" s="1"/>
  <c r="BD85" i="12"/>
  <c r="FA16" i="4" l="1"/>
  <c r="FA23" i="4" s="1"/>
  <c r="BD87" i="12"/>
  <c r="BD89" i="12" s="1"/>
  <c r="BD41" i="12"/>
  <c r="BC23" i="4"/>
  <c r="BC27" i="4" s="1"/>
  <c r="BC32" i="4" s="1"/>
  <c r="BC48" i="4" s="1"/>
  <c r="BC49" i="4" s="1"/>
  <c r="BC22" i="13"/>
  <c r="FA22" i="13" s="1"/>
  <c r="FA27" i="4" l="1"/>
  <c r="FA32" i="4" s="1"/>
  <c r="FA45" i="4" s="1"/>
  <c r="BC45" i="4"/>
  <c r="BD91" i="12"/>
  <c r="BC63" i="13"/>
  <c r="FA63" i="13" s="1"/>
  <c r="FE22" i="3" l="1"/>
  <c r="FC22" i="3"/>
  <c r="FC60" i="13" l="1"/>
  <c r="FC59" i="13"/>
  <c r="FC58" i="13"/>
  <c r="FC57" i="13"/>
  <c r="FC56" i="13"/>
  <c r="FC55" i="13"/>
  <c r="FC54" i="13"/>
  <c r="FC52" i="13"/>
  <c r="FC51" i="13"/>
  <c r="FC50" i="13"/>
  <c r="FC49" i="13"/>
  <c r="FC48" i="13"/>
  <c r="FC42" i="13"/>
  <c r="FC41" i="13"/>
  <c r="FC40" i="13"/>
  <c r="FC38" i="13"/>
  <c r="FC37" i="13"/>
  <c r="FC35" i="13"/>
  <c r="FC34" i="13"/>
  <c r="FC33" i="13"/>
  <c r="FC32" i="13"/>
  <c r="FC31" i="13"/>
  <c r="FC30" i="13"/>
  <c r="FC29" i="13"/>
  <c r="FC27" i="13"/>
  <c r="FC26" i="13"/>
  <c r="FC21" i="13"/>
  <c r="FC19" i="13"/>
  <c r="FC18" i="13"/>
  <c r="FC17" i="13"/>
  <c r="FC16" i="13"/>
  <c r="FC15" i="13"/>
  <c r="FC14" i="13"/>
  <c r="FC13" i="13"/>
  <c r="FC12" i="13"/>
  <c r="FC11" i="13"/>
  <c r="FC10" i="13"/>
  <c r="FC9" i="13"/>
  <c r="FC7" i="13"/>
  <c r="BE61" i="13" l="1"/>
  <c r="FC61" i="13" s="1"/>
  <c r="FC28" i="13"/>
  <c r="FC39" i="13"/>
  <c r="BE6" i="13"/>
  <c r="FC6" i="13" s="1"/>
  <c r="NH46" i="10"/>
  <c r="NF46" i="10"/>
  <c r="NF43" i="10"/>
  <c r="NF42" i="10"/>
  <c r="NF39" i="10"/>
  <c r="NF38" i="10"/>
  <c r="NF37" i="10"/>
  <c r="NF32" i="10" l="1"/>
  <c r="NS32" i="10"/>
  <c r="NH32" i="10"/>
  <c r="NU32" i="10"/>
  <c r="NF34" i="10"/>
  <c r="NS34" i="10"/>
  <c r="NH34" i="10"/>
  <c r="NU34" i="10"/>
  <c r="NF33" i="10"/>
  <c r="NS33" i="10"/>
  <c r="NH33" i="10"/>
  <c r="NU33" i="10"/>
  <c r="NH37" i="10"/>
  <c r="NU37" i="10"/>
  <c r="NH38" i="10"/>
  <c r="NU38" i="10"/>
  <c r="NH39" i="10"/>
  <c r="NU39" i="10"/>
  <c r="NH40" i="10"/>
  <c r="NU40" i="10"/>
  <c r="NH42" i="10"/>
  <c r="NU42" i="10"/>
  <c r="NH43" i="10"/>
  <c r="NU43" i="10"/>
  <c r="BE44" i="13"/>
  <c r="FC44" i="13" s="1"/>
  <c r="NO43" i="10"/>
  <c r="NO42" i="10"/>
  <c r="NO40" i="10"/>
  <c r="MZ43" i="10"/>
  <c r="MZ42" i="10"/>
  <c r="MZ32" i="10"/>
  <c r="NW16" i="10" l="1"/>
  <c r="NO33" i="10"/>
  <c r="NB33" i="10"/>
  <c r="NB42" i="10"/>
  <c r="NJ42" i="10" s="1"/>
  <c r="NM37" i="10"/>
  <c r="MZ37" i="10"/>
  <c r="NB43" i="10"/>
  <c r="NB40" i="10"/>
  <c r="NM38" i="10"/>
  <c r="MZ38" i="10"/>
  <c r="NM34" i="10"/>
  <c r="MZ34" i="10"/>
  <c r="NO34" i="10"/>
  <c r="NB34" i="10"/>
  <c r="NM32" i="10"/>
  <c r="NM39" i="10"/>
  <c r="MZ39" i="10"/>
  <c r="NM46" i="10"/>
  <c r="MZ46" i="10"/>
  <c r="NM33" i="10"/>
  <c r="MZ33" i="10"/>
  <c r="NM40" i="10"/>
  <c r="MZ40" i="10"/>
  <c r="NO46" i="10"/>
  <c r="NB46" i="10"/>
  <c r="NM43" i="10"/>
  <c r="NM42" i="10"/>
  <c r="NW42" i="10" s="1"/>
  <c r="LZ36" i="10"/>
  <c r="LZ31" i="10"/>
  <c r="LX28" i="10"/>
  <c r="MH14" i="10"/>
  <c r="MH12" i="10"/>
  <c r="MH11" i="10"/>
  <c r="MF10" i="10"/>
  <c r="MD10" i="10"/>
  <c r="MB10" i="10"/>
  <c r="LZ10" i="10"/>
  <c r="MH6" i="10"/>
  <c r="MF5" i="10"/>
  <c r="MB5" i="10"/>
  <c r="LZ5" i="10"/>
  <c r="LX5" i="10"/>
  <c r="MP5" i="10"/>
  <c r="ML28" i="10"/>
  <c r="MZ28" i="10"/>
  <c r="NH10" i="10"/>
  <c r="NB10" i="10"/>
  <c r="NJ11" i="10"/>
  <c r="NF10" i="10"/>
  <c r="ND10" i="10"/>
  <c r="NF31" i="10"/>
  <c r="MZ5" i="10"/>
  <c r="ND5" i="10"/>
  <c r="NB5" i="10"/>
  <c r="NM28" i="10"/>
  <c r="NQ5" i="10"/>
  <c r="NM5" i="10"/>
  <c r="FE61" i="13"/>
  <c r="FE44" i="13"/>
  <c r="FE60" i="13"/>
  <c r="FE59" i="13"/>
  <c r="FE58" i="13"/>
  <c r="FE57" i="13"/>
  <c r="FE56" i="13"/>
  <c r="FE55" i="13"/>
  <c r="FE54" i="13"/>
  <c r="FE52" i="13"/>
  <c r="FE51" i="13"/>
  <c r="FE50" i="13"/>
  <c r="FE49" i="13"/>
  <c r="FE48" i="13"/>
  <c r="FE43" i="13"/>
  <c r="FE42" i="13"/>
  <c r="FE41" i="13"/>
  <c r="FE40" i="13"/>
  <c r="FE39" i="13"/>
  <c r="FE38" i="13"/>
  <c r="FE37" i="13"/>
  <c r="FE36" i="13"/>
  <c r="FE35" i="13"/>
  <c r="FE34" i="13"/>
  <c r="FE33" i="13"/>
  <c r="FE32" i="13"/>
  <c r="FE31" i="13"/>
  <c r="FE30" i="13"/>
  <c r="FE29" i="13"/>
  <c r="FE28" i="13"/>
  <c r="FE27" i="13"/>
  <c r="FE26" i="13"/>
  <c r="FE21" i="13"/>
  <c r="FE19" i="13"/>
  <c r="FE18" i="13"/>
  <c r="FE17" i="13"/>
  <c r="FE16" i="13"/>
  <c r="FE15" i="13"/>
  <c r="FE14" i="13"/>
  <c r="FE13" i="13"/>
  <c r="FE12" i="13"/>
  <c r="FE11" i="13"/>
  <c r="FE10" i="13"/>
  <c r="FE9" i="13"/>
  <c r="FE8" i="13"/>
  <c r="FE7" i="13"/>
  <c r="FE6" i="13"/>
  <c r="EY1" i="13"/>
  <c r="FA1" i="13"/>
  <c r="FC1" i="13"/>
  <c r="FE1" i="13"/>
  <c r="FE41" i="4"/>
  <c r="FE40" i="4"/>
  <c r="FE39" i="4"/>
  <c r="FE38" i="4"/>
  <c r="FE37" i="4"/>
  <c r="FE36" i="4"/>
  <c r="FE35" i="4"/>
  <c r="FE30" i="4"/>
  <c r="EY1" i="4"/>
  <c r="FA1" i="4"/>
  <c r="FC1" i="4"/>
  <c r="FE1" i="4"/>
  <c r="BE43" i="4"/>
  <c r="FC4" i="4"/>
  <c r="EY1" i="3"/>
  <c r="FA1" i="3"/>
  <c r="FC1" i="3"/>
  <c r="FE1" i="3"/>
  <c r="FF55" i="2"/>
  <c r="FF47" i="2"/>
  <c r="FF36" i="2"/>
  <c r="EZ1" i="2"/>
  <c r="FB1" i="2"/>
  <c r="FD1" i="2"/>
  <c r="FF1" i="2"/>
  <c r="BE47" i="4"/>
  <c r="BF47" i="2"/>
  <c r="BF57" i="2" s="1"/>
  <c r="FF18" i="2"/>
  <c r="FF15" i="2"/>
  <c r="FF14" i="2"/>
  <c r="FF13" i="2"/>
  <c r="FF12" i="2"/>
  <c r="FF11" i="2"/>
  <c r="FF10" i="2"/>
  <c r="FF9" i="2"/>
  <c r="FE43" i="4" l="1"/>
  <c r="MH46" i="10"/>
  <c r="MH34" i="10"/>
  <c r="NJ46" i="10"/>
  <c r="MH33" i="10"/>
  <c r="FF24" i="2"/>
  <c r="FD24" i="2"/>
  <c r="FF26" i="2"/>
  <c r="FD26" i="2"/>
  <c r="FF27" i="2"/>
  <c r="FD27" i="2"/>
  <c r="FF68" i="2"/>
  <c r="FD68" i="2"/>
  <c r="FF69" i="2"/>
  <c r="FD69" i="2"/>
  <c r="FF31" i="2"/>
  <c r="FD31" i="2"/>
  <c r="FF25" i="2"/>
  <c r="FD25" i="2"/>
  <c r="FF71" i="2"/>
  <c r="FD71" i="2"/>
  <c r="FF67" i="2"/>
  <c r="FD67" i="2"/>
  <c r="FF66" i="2"/>
  <c r="FD66" i="2"/>
  <c r="FC10" i="4"/>
  <c r="FE25" i="4"/>
  <c r="FC25" i="4"/>
  <c r="FE21" i="4"/>
  <c r="FC21" i="4"/>
  <c r="FC11" i="4"/>
  <c r="FC12" i="4"/>
  <c r="FE56" i="4"/>
  <c r="FC56" i="4"/>
  <c r="FC14" i="4"/>
  <c r="FE9" i="4"/>
  <c r="FC9" i="4"/>
  <c r="FE18" i="4"/>
  <c r="FC18" i="4"/>
  <c r="FE19" i="4"/>
  <c r="FC19" i="4"/>
  <c r="FE5" i="4"/>
  <c r="FC5" i="4"/>
  <c r="FC7" i="4" s="1"/>
  <c r="FE20" i="4"/>
  <c r="FC20" i="4"/>
  <c r="MF19" i="10"/>
  <c r="MF22" i="10" s="1"/>
  <c r="MF24" i="10" s="1"/>
  <c r="MF51" i="10" s="1"/>
  <c r="FF57" i="2"/>
  <c r="BE7" i="4"/>
  <c r="BE16" i="4" s="1"/>
  <c r="BE57" i="4" s="1"/>
  <c r="BF51" i="12"/>
  <c r="BF55" i="12" s="1"/>
  <c r="BF21" i="12"/>
  <c r="FF17" i="2"/>
  <c r="FF72" i="2" s="1"/>
  <c r="FE4" i="4"/>
  <c r="FF16" i="2"/>
  <c r="BF39" i="12"/>
  <c r="MB36" i="10"/>
  <c r="MD31" i="10"/>
  <c r="NB19" i="10"/>
  <c r="NB22" i="10" s="1"/>
  <c r="ND19" i="10"/>
  <c r="ND22" i="10" s="1"/>
  <c r="MP31" i="10"/>
  <c r="LZ19" i="10"/>
  <c r="LZ22" i="10" s="1"/>
  <c r="LZ24" i="10" s="1"/>
  <c r="LZ51" i="10" s="1"/>
  <c r="MB19" i="10"/>
  <c r="MB22" i="10" s="1"/>
  <c r="MF36" i="10"/>
  <c r="MD36" i="10"/>
  <c r="MB31" i="10"/>
  <c r="MF31" i="10"/>
  <c r="LX31" i="10"/>
  <c r="LZ45" i="10"/>
  <c r="LZ48" i="10" s="1"/>
  <c r="MH13" i="10"/>
  <c r="MD5" i="10"/>
  <c r="MD19" i="10" s="1"/>
  <c r="MD22" i="10" s="1"/>
  <c r="MD24" i="10" s="1"/>
  <c r="MD51" i="10" s="1"/>
  <c r="LX36" i="10"/>
  <c r="MH8" i="10"/>
  <c r="LX10" i="10"/>
  <c r="MH10" i="10" s="1"/>
  <c r="MH7" i="10"/>
  <c r="NW7" i="10"/>
  <c r="NM10" i="10"/>
  <c r="NM19" i="10" s="1"/>
  <c r="NM22" i="10" s="1"/>
  <c r="NM24" i="10" s="1"/>
  <c r="MZ51" i="10" s="1"/>
  <c r="NJ34" i="10"/>
  <c r="NJ6" i="10"/>
  <c r="NJ13" i="10"/>
  <c r="NH31" i="10"/>
  <c r="NH36" i="10"/>
  <c r="NJ33" i="10"/>
  <c r="NJ14" i="10"/>
  <c r="NJ20" i="10"/>
  <c r="NF5" i="10"/>
  <c r="NF19" i="10" s="1"/>
  <c r="NF22" i="10" s="1"/>
  <c r="NH5" i="10"/>
  <c r="NH19" i="10" s="1"/>
  <c r="NH22" i="10" s="1"/>
  <c r="NJ8" i="10"/>
  <c r="NJ12" i="10"/>
  <c r="MZ10" i="10"/>
  <c r="NJ10" i="10" s="1"/>
  <c r="NJ7" i="10"/>
  <c r="NM31" i="10"/>
  <c r="BF20" i="2"/>
  <c r="MD45" i="10" l="1"/>
  <c r="MD48" i="10" s="1"/>
  <c r="MH36" i="10"/>
  <c r="LX45" i="10"/>
  <c r="LX48" i="10" s="1"/>
  <c r="MH31" i="10"/>
  <c r="ND51" i="10"/>
  <c r="NQ51" i="10"/>
  <c r="FC16" i="4"/>
  <c r="FC23" i="4" s="1"/>
  <c r="FE7" i="4"/>
  <c r="FE57" i="4"/>
  <c r="FC57" i="4"/>
  <c r="BF87" i="12"/>
  <c r="BF89" i="12" s="1"/>
  <c r="BF41" i="12"/>
  <c r="FF20" i="2"/>
  <c r="BE23" i="4"/>
  <c r="MB45" i="10"/>
  <c r="MB48" i="10" s="1"/>
  <c r="NJ5" i="10"/>
  <c r="NJ19" i="10" s="1"/>
  <c r="NJ22" i="10" s="1"/>
  <c r="ND31" i="10"/>
  <c r="MF45" i="10"/>
  <c r="MF48" i="10" s="1"/>
  <c r="MH5" i="10"/>
  <c r="MH19" i="10" s="1"/>
  <c r="MH22" i="10" s="1"/>
  <c r="LX19" i="10"/>
  <c r="LX22" i="10" s="1"/>
  <c r="LX24" i="10" s="1"/>
  <c r="NH45" i="10"/>
  <c r="NH48" i="10" s="1"/>
  <c r="MZ31" i="10"/>
  <c r="MZ36" i="10"/>
  <c r="MZ19" i="10"/>
  <c r="MZ22" i="10" s="1"/>
  <c r="NM36" i="10"/>
  <c r="FC27" i="4" l="1"/>
  <c r="FC32" i="4" s="1"/>
  <c r="FC45" i="4" s="1"/>
  <c r="MH24" i="10"/>
  <c r="LX51" i="10"/>
  <c r="MH51" i="10" s="1"/>
  <c r="FE16" i="4"/>
  <c r="FE23" i="4" s="1"/>
  <c r="MH45" i="10"/>
  <c r="MH48" i="10" s="1"/>
  <c r="BE27" i="4"/>
  <c r="BE5" i="13"/>
  <c r="FC5" i="13" s="1"/>
  <c r="BF91" i="12"/>
  <c r="MZ45" i="10"/>
  <c r="MZ48" i="10" s="1"/>
  <c r="NM45" i="10"/>
  <c r="NM48" i="10" s="1"/>
  <c r="NM51" i="10" s="1"/>
  <c r="FE27" i="4" l="1"/>
  <c r="FE32" i="4" s="1"/>
  <c r="FE45" i="4" s="1"/>
  <c r="BE32" i="4"/>
  <c r="BE48" i="4" s="1"/>
  <c r="BE49" i="4" s="1"/>
  <c r="BE22" i="13"/>
  <c r="FC22" i="13" s="1"/>
  <c r="FE5" i="13"/>
  <c r="BE45" i="4" l="1"/>
  <c r="BE63" i="13"/>
  <c r="FC63" i="13" s="1"/>
  <c r="FE22" i="13"/>
  <c r="FE63" i="13" l="1"/>
  <c r="OG43" i="10" l="1"/>
  <c r="OG42" i="10"/>
  <c r="OG40" i="10"/>
  <c r="OG39" i="10"/>
  <c r="OG38" i="10"/>
  <c r="OG37" i="10"/>
  <c r="OJ17" i="10"/>
  <c r="OJ16" i="10"/>
  <c r="NQ31" i="10"/>
  <c r="NW33" i="10" l="1"/>
  <c r="BG45" i="3" l="1"/>
  <c r="BG62" i="3"/>
  <c r="BG43" i="4" l="1"/>
  <c r="BG7" i="4"/>
  <c r="BG16" i="4" s="1"/>
  <c r="BH39" i="12"/>
  <c r="BH21" i="12"/>
  <c r="BH85" i="12"/>
  <c r="BH69" i="12"/>
  <c r="BH51" i="12"/>
  <c r="BH55" i="12" s="1"/>
  <c r="BG61" i="13"/>
  <c r="BG22" i="13"/>
  <c r="BH87" i="12" l="1"/>
  <c r="BH89" i="12" s="1"/>
  <c r="BH41" i="12"/>
  <c r="BG23" i="4"/>
  <c r="BG27" i="4" s="1"/>
  <c r="BG32" i="4" s="1"/>
  <c r="BG45" i="4" s="1"/>
  <c r="BG57" i="4"/>
  <c r="BG63" i="13"/>
  <c r="BG67" i="13" s="1"/>
  <c r="FH55" i="2"/>
  <c r="BG47" i="4"/>
  <c r="BH72" i="2"/>
  <c r="BH71" i="2"/>
  <c r="BG69" i="13" l="1"/>
  <c r="BE65" i="13"/>
  <c r="BC65" i="13" s="1"/>
  <c r="BH91" i="12"/>
  <c r="BH21" i="1"/>
  <c r="BH7" i="2"/>
  <c r="BH73" i="2" s="1"/>
  <c r="BG48" i="4"/>
  <c r="BG49" i="4" s="1"/>
  <c r="BH52" i="1"/>
  <c r="BH56" i="1" s="1"/>
  <c r="BH86" i="1"/>
  <c r="BH20" i="2"/>
  <c r="BC67" i="13" l="1"/>
  <c r="FA65" i="13" s="1"/>
  <c r="FA67" i="13" s="1"/>
  <c r="BA65" i="13"/>
  <c r="FE65" i="13"/>
  <c r="BE67" i="13"/>
  <c r="BH22" i="2"/>
  <c r="BH29" i="2" s="1"/>
  <c r="BH33" i="2" s="1"/>
  <c r="BH38" i="2" s="1"/>
  <c r="BH62" i="2" s="1"/>
  <c r="BH63" i="2" s="1"/>
  <c r="BH88" i="1"/>
  <c r="BH90" i="1" s="1"/>
  <c r="FC65" i="13" l="1"/>
  <c r="FC67" i="13" s="1"/>
  <c r="FC69" i="13" s="1"/>
  <c r="BA67" i="13"/>
  <c r="AY65" i="13"/>
  <c r="AY67" i="13" s="1"/>
  <c r="AW65" i="13" s="1"/>
  <c r="BC69" i="13"/>
  <c r="BE69" i="13"/>
  <c r="FE67" i="13"/>
  <c r="FE69" i="13" s="1"/>
  <c r="BH75" i="2"/>
  <c r="OH33" i="10"/>
  <c r="OH32" i="10"/>
  <c r="OF34" i="10"/>
  <c r="OF33" i="10"/>
  <c r="OF32" i="10"/>
  <c r="OB43" i="10"/>
  <c r="OB42" i="10"/>
  <c r="OB40" i="10"/>
  <c r="OB33" i="10"/>
  <c r="NZ43" i="10"/>
  <c r="NZ42" i="10"/>
  <c r="NZ40" i="10"/>
  <c r="NZ39" i="10"/>
  <c r="NZ38" i="10"/>
  <c r="NZ37" i="10"/>
  <c r="NZ34" i="10"/>
  <c r="NZ33" i="10"/>
  <c r="NZ32" i="10"/>
  <c r="FI54" i="3"/>
  <c r="EW65" i="13" l="1"/>
  <c r="AU65" i="13"/>
  <c r="AS65" i="13" s="1"/>
  <c r="AQ65" i="13" s="1"/>
  <c r="AW67" i="13"/>
  <c r="FA69" i="13"/>
  <c r="EY65" i="13"/>
  <c r="EY67" i="13" s="1"/>
  <c r="EY69" i="13" s="1"/>
  <c r="BA69" i="13"/>
  <c r="AY69" i="13"/>
  <c r="BI62" i="3"/>
  <c r="BI6" i="3"/>
  <c r="BI45" i="3"/>
  <c r="AW69" i="13" l="1"/>
  <c r="EW67" i="13"/>
  <c r="AU67" i="13"/>
  <c r="BI23" i="3"/>
  <c r="BI64" i="3" s="1"/>
  <c r="BJ47" i="2"/>
  <c r="BJ57" i="2" s="1"/>
  <c r="BJ72" i="2"/>
  <c r="BJ71" i="2"/>
  <c r="EW69" i="13" l="1"/>
  <c r="EU65" i="13"/>
  <c r="EU67" i="13" s="1"/>
  <c r="ES65" i="13" s="1"/>
  <c r="AU69" i="13"/>
  <c r="BJ12" i="1"/>
  <c r="BJ75" i="1"/>
  <c r="BJ26" i="1"/>
  <c r="BJ61" i="1"/>
  <c r="BJ7" i="2"/>
  <c r="BJ73" i="2" s="1"/>
  <c r="BJ20" i="2"/>
  <c r="BI47" i="4"/>
  <c r="BI43" i="4"/>
  <c r="FG4" i="4"/>
  <c r="EU69" i="13" l="1"/>
  <c r="BI28" i="13"/>
  <c r="BI44" i="13" s="1"/>
  <c r="BI7" i="4"/>
  <c r="BI16" i="4" s="1"/>
  <c r="BJ22" i="2"/>
  <c r="BJ29" i="2" s="1"/>
  <c r="BJ33" i="2" s="1"/>
  <c r="BJ38" i="2" s="1"/>
  <c r="BJ59" i="2" s="1"/>
  <c r="BJ39" i="12"/>
  <c r="BJ69" i="12"/>
  <c r="BJ21" i="12"/>
  <c r="BJ85" i="12"/>
  <c r="BI61" i="13"/>
  <c r="BI6" i="13"/>
  <c r="BI22" i="13" s="1"/>
  <c r="BJ75" i="2" l="1"/>
  <c r="BJ62" i="2"/>
  <c r="BJ63" i="2" s="1"/>
  <c r="BJ87" i="12"/>
  <c r="BJ41" i="12"/>
  <c r="BI63" i="13"/>
  <c r="BI67" i="13" s="1"/>
  <c r="BI23" i="4"/>
  <c r="BI27" i="4" s="1"/>
  <c r="BI32" i="4" s="1"/>
  <c r="BI57" i="4"/>
  <c r="BI69" i="13" l="1"/>
  <c r="FG65" i="13"/>
  <c r="BI45" i="4"/>
  <c r="BI48" i="4"/>
  <c r="BI49" i="4" s="1"/>
  <c r="BJ51" i="12" l="1"/>
  <c r="BJ55" i="12" s="1"/>
  <c r="BJ89" i="12" l="1"/>
  <c r="BJ91" i="12" s="1"/>
  <c r="BJ86" i="1" l="1"/>
  <c r="BJ52" i="1"/>
  <c r="BJ39" i="1"/>
  <c r="BJ56" i="1" l="1"/>
  <c r="BJ21" i="1"/>
  <c r="BJ41" i="1" s="1"/>
  <c r="BJ70" i="1"/>
  <c r="BJ88" i="1" s="1"/>
  <c r="BJ90" i="1" l="1"/>
  <c r="BJ92" i="1" s="1"/>
  <c r="FI61" i="3"/>
  <c r="FI60" i="3"/>
  <c r="FI59" i="3"/>
  <c r="FI58" i="3"/>
  <c r="FI57" i="3"/>
  <c r="FI56" i="3"/>
  <c r="FI55" i="3"/>
  <c r="FI53" i="3"/>
  <c r="FI52" i="3"/>
  <c r="FI51" i="3"/>
  <c r="FI50" i="3"/>
  <c r="FI44" i="3"/>
  <c r="FI43" i="3"/>
  <c r="FI42" i="3"/>
  <c r="FI41" i="3"/>
  <c r="FI40" i="3"/>
  <c r="FI39" i="3"/>
  <c r="FI38" i="3"/>
  <c r="FI36" i="3"/>
  <c r="FI35" i="3"/>
  <c r="FI34" i="3"/>
  <c r="FI33" i="3"/>
  <c r="FI32" i="3"/>
  <c r="FI31" i="3"/>
  <c r="FI30" i="3"/>
  <c r="FI29" i="3"/>
  <c r="FI28" i="3"/>
  <c r="FI22" i="3"/>
  <c r="FI19" i="3"/>
  <c r="FI18" i="3"/>
  <c r="FI17" i="3"/>
  <c r="FI16" i="3"/>
  <c r="FI15" i="3"/>
  <c r="FI14" i="3"/>
  <c r="FI13" i="3"/>
  <c r="FI12" i="3"/>
  <c r="FI11" i="3"/>
  <c r="FI10" i="3"/>
  <c r="FI9" i="3"/>
  <c r="FI8" i="3"/>
  <c r="FI7" i="3"/>
  <c r="FI5" i="3"/>
  <c r="BK45" i="3" l="1"/>
  <c r="FI27" i="3"/>
  <c r="BK62" i="3"/>
  <c r="BK6" i="3"/>
  <c r="FI56" i="4"/>
  <c r="BK23" i="3" l="1"/>
  <c r="BK64" i="3" s="1"/>
  <c r="FI6" i="3"/>
  <c r="BK44" i="13"/>
  <c r="BK22" i="13"/>
  <c r="BK61" i="13"/>
  <c r="BK63" i="13" l="1"/>
  <c r="BL21" i="12" l="1"/>
  <c r="BK7" i="4"/>
  <c r="BK16" i="4" s="1"/>
  <c r="BL39" i="12"/>
  <c r="BL85" i="12"/>
  <c r="BL69" i="12"/>
  <c r="OU43" i="10"/>
  <c r="OU42" i="10"/>
  <c r="PF42" i="10"/>
  <c r="PJ42" i="10" s="1"/>
  <c r="OM32" i="10"/>
  <c r="BK47" i="4"/>
  <c r="BL47" i="2"/>
  <c r="BL57" i="2" s="1"/>
  <c r="BL72" i="2"/>
  <c r="FL16" i="2"/>
  <c r="PJ17" i="10" l="1"/>
  <c r="PJ16" i="10"/>
  <c r="BL41" i="12"/>
  <c r="BL7" i="2"/>
  <c r="BL71" i="2"/>
  <c r="FJ71" i="2" s="1"/>
  <c r="BL87" i="12"/>
  <c r="BL20" i="2"/>
  <c r="FJ16" i="2"/>
  <c r="BL52" i="1"/>
  <c r="BL56" i="1" s="1"/>
  <c r="BK23" i="4"/>
  <c r="BK27" i="4" s="1"/>
  <c r="BK32" i="4" s="1"/>
  <c r="BK45" i="4" s="1"/>
  <c r="BL51" i="12" s="1"/>
  <c r="BL55" i="12" s="1"/>
  <c r="BK57" i="4"/>
  <c r="FI57" i="4" s="1"/>
  <c r="FU41" i="3"/>
  <c r="BL89" i="12" l="1"/>
  <c r="BL91" i="12" s="1"/>
  <c r="BL73" i="2"/>
  <c r="BL22" i="2"/>
  <c r="FL71" i="2"/>
  <c r="BK48" i="4"/>
  <c r="BK49" i="4" s="1"/>
  <c r="BL75" i="2" l="1"/>
  <c r="BL29" i="2"/>
  <c r="BL33" i="2" s="1"/>
  <c r="BL38" i="2" s="1"/>
  <c r="BL59" i="2" s="1"/>
  <c r="FK56" i="4"/>
  <c r="BL62" i="2" l="1"/>
  <c r="BL63" i="2" s="1"/>
  <c r="BM45" i="3" l="1"/>
  <c r="BM62" i="3"/>
  <c r="BN52" i="1"/>
  <c r="BN56" i="1" s="1"/>
  <c r="BN39" i="1"/>
  <c r="BN21" i="1"/>
  <c r="BN86" i="1"/>
  <c r="BN70" i="1"/>
  <c r="BM6" i="3"/>
  <c r="BN41" i="1" l="1"/>
  <c r="BN88" i="1"/>
  <c r="BN90" i="1" s="1"/>
  <c r="BN72" i="2"/>
  <c r="FL4" i="2"/>
  <c r="BK65" i="13"/>
  <c r="BK67" i="13" s="1"/>
  <c r="BK69" i="13" s="1"/>
  <c r="BN92" i="1" l="1"/>
  <c r="BM28" i="13"/>
  <c r="BM44" i="13" s="1"/>
  <c r="BM6" i="13" l="1"/>
  <c r="BM22" i="13" s="1"/>
  <c r="BM61" i="13"/>
  <c r="BM63" i="13" l="1"/>
  <c r="BM67" i="13" s="1"/>
  <c r="BM47" i="4" l="1"/>
  <c r="BN20" i="2"/>
  <c r="BN7" i="2"/>
  <c r="BM69" i="13"/>
  <c r="BN69" i="12" l="1"/>
  <c r="BN47" i="2"/>
  <c r="BN57" i="2" s="1"/>
  <c r="BN85" i="12"/>
  <c r="BN22" i="2"/>
  <c r="BN29" i="2" s="1"/>
  <c r="BN33" i="2" s="1"/>
  <c r="BN38" i="2" s="1"/>
  <c r="BN73" i="2"/>
  <c r="BM7" i="4"/>
  <c r="BM16" i="4" s="1"/>
  <c r="BN51" i="12"/>
  <c r="BN55" i="12" s="1"/>
  <c r="BN39" i="12"/>
  <c r="BN21" i="12"/>
  <c r="BN75" i="2" l="1"/>
  <c r="BN87" i="12"/>
  <c r="BN89" i="12" s="1"/>
  <c r="BM23" i="4"/>
  <c r="BM27" i="4" s="1"/>
  <c r="BM32" i="4" s="1"/>
  <c r="BM48" i="4" s="1"/>
  <c r="BM49" i="4" s="1"/>
  <c r="BM57" i="4"/>
  <c r="BN62" i="2"/>
  <c r="BN63" i="2" s="1"/>
  <c r="BN59" i="2"/>
  <c r="BN41" i="12"/>
  <c r="BM45" i="4" l="1"/>
  <c r="BN91" i="12"/>
  <c r="PM39" i="10"/>
  <c r="PM37" i="10" l="1"/>
  <c r="PM38" i="10"/>
  <c r="PM34" i="10"/>
  <c r="PM33" i="10"/>
  <c r="PM32" i="10"/>
  <c r="PM46" i="10"/>
  <c r="BP72" i="2"/>
  <c r="BP86" i="1"/>
  <c r="BO45" i="3" l="1"/>
  <c r="BO6" i="3"/>
  <c r="BO62" i="3"/>
  <c r="BP70" i="1"/>
  <c r="BP88" i="1" s="1"/>
  <c r="BP39" i="1"/>
  <c r="BP52" i="1"/>
  <c r="BP56" i="1" s="1"/>
  <c r="BP21" i="1"/>
  <c r="BP41" i="1" l="1"/>
  <c r="BP90" i="1"/>
  <c r="BP47" i="2"/>
  <c r="BP57" i="2" s="1"/>
  <c r="BP20" i="2"/>
  <c r="BP7" i="2"/>
  <c r="BP73" i="2" s="1"/>
  <c r="BP92" i="1" l="1"/>
  <c r="BO61" i="13"/>
  <c r="BP22" i="2"/>
  <c r="BP29" i="2" s="1"/>
  <c r="BP33" i="2" s="1"/>
  <c r="BP38" i="2" s="1"/>
  <c r="BP62" i="2" s="1"/>
  <c r="BP63" i="2" s="1"/>
  <c r="BO6" i="13"/>
  <c r="BO22" i="13" s="1"/>
  <c r="BO28" i="13"/>
  <c r="BO44" i="13" s="1"/>
  <c r="BP59" i="2" l="1"/>
  <c r="BP75" i="2"/>
  <c r="BO63" i="13"/>
  <c r="BO7" i="4"/>
  <c r="BO47" i="4"/>
  <c r="BO16" i="4" l="1"/>
  <c r="BO57" i="4" s="1"/>
  <c r="BO23" i="4" l="1"/>
  <c r="BO27" i="4" s="1"/>
  <c r="BO32" i="4" s="1"/>
  <c r="BO45" i="4" s="1"/>
  <c r="BO48" i="4" l="1"/>
  <c r="BO49" i="4" s="1"/>
  <c r="BP85" i="12"/>
  <c r="BP51" i="12"/>
  <c r="BP55" i="12" s="1"/>
  <c r="BP39" i="12"/>
  <c r="BP21" i="12"/>
  <c r="BP41" i="12" l="1"/>
  <c r="BP69" i="12"/>
  <c r="BP87" i="12" s="1"/>
  <c r="BP89" i="12" s="1"/>
  <c r="BP91" i="12" l="1"/>
  <c r="FW41" i="3"/>
  <c r="BU40" i="3" l="1"/>
  <c r="BU39" i="13"/>
  <c r="GU35" i="3" l="1"/>
  <c r="GS35" i="3"/>
  <c r="GQ35" i="3"/>
  <c r="GO35" i="3"/>
  <c r="GM35" i="3"/>
  <c r="GK35" i="3"/>
  <c r="GI35" i="3"/>
  <c r="GG35" i="3"/>
  <c r="GE35" i="3"/>
  <c r="GC35" i="3"/>
  <c r="FM35" i="3"/>
  <c r="FK35" i="3"/>
  <c r="CW45" i="3"/>
  <c r="CU45" i="3"/>
  <c r="CS45" i="3"/>
  <c r="CO45" i="3"/>
  <c r="CM45" i="3"/>
  <c r="CI45" i="3"/>
  <c r="CG45" i="3"/>
  <c r="GA35" i="3"/>
  <c r="FW35" i="3"/>
  <c r="FS35" i="3"/>
  <c r="FY35" i="3" l="1"/>
  <c r="FU35" i="3"/>
  <c r="FQ35" i="3"/>
  <c r="FO35" i="3"/>
  <c r="GU34" i="13"/>
  <c r="GS34" i="13"/>
  <c r="GQ34" i="13"/>
  <c r="GO34" i="13"/>
  <c r="GM34" i="13"/>
  <c r="GK34" i="13"/>
  <c r="GI34" i="13"/>
  <c r="GG34" i="13"/>
  <c r="GE34" i="13"/>
  <c r="GC34" i="13"/>
  <c r="FM34" i="13"/>
  <c r="FI34" i="13"/>
  <c r="FK34" i="13"/>
  <c r="GA34" i="13"/>
  <c r="FS34" i="13" l="1"/>
  <c r="FY34" i="13" l="1"/>
  <c r="FW34" i="13"/>
  <c r="FQ34" i="13" l="1"/>
  <c r="FO34" i="13"/>
  <c r="FK65" i="13" l="1"/>
  <c r="FI65" i="13"/>
  <c r="FM63" i="13"/>
  <c r="FK63" i="13"/>
  <c r="FI63" i="13"/>
  <c r="FM61" i="13"/>
  <c r="FK61" i="13"/>
  <c r="FI61" i="13"/>
  <c r="FM60" i="13"/>
  <c r="FK60" i="13"/>
  <c r="FI60" i="13"/>
  <c r="GQ60" i="13"/>
  <c r="GI60" i="13"/>
  <c r="GA60" i="13"/>
  <c r="FS60" i="13"/>
  <c r="FM59" i="13"/>
  <c r="FK59" i="13"/>
  <c r="FI59" i="13"/>
  <c r="GQ59" i="13"/>
  <c r="GI59" i="13"/>
  <c r="GA59" i="13"/>
  <c r="FS59" i="13"/>
  <c r="FM58" i="13"/>
  <c r="FK58" i="13"/>
  <c r="FI58" i="13"/>
  <c r="GQ58" i="13"/>
  <c r="GI58" i="13"/>
  <c r="GA58" i="13"/>
  <c r="FS58" i="13"/>
  <c r="FM57" i="13"/>
  <c r="FK57" i="13"/>
  <c r="FI57" i="13"/>
  <c r="GQ57" i="13"/>
  <c r="GI57" i="13"/>
  <c r="GA57" i="13"/>
  <c r="FS57" i="13"/>
  <c r="FO57" i="13"/>
  <c r="FM56" i="13"/>
  <c r="FK56" i="13"/>
  <c r="FI56" i="13"/>
  <c r="GQ56" i="13"/>
  <c r="GI56" i="13"/>
  <c r="GA56" i="13"/>
  <c r="FS56" i="13"/>
  <c r="FM55" i="13"/>
  <c r="FK55" i="13"/>
  <c r="FI55" i="13"/>
  <c r="GQ55" i="13"/>
  <c r="GI55" i="13"/>
  <c r="GA55" i="13"/>
  <c r="FO55" i="13"/>
  <c r="FM54" i="13"/>
  <c r="FK54" i="13"/>
  <c r="FI54" i="13"/>
  <c r="GQ54" i="13"/>
  <c r="GI54" i="13"/>
  <c r="GA54" i="13"/>
  <c r="FS54" i="13"/>
  <c r="GU53" i="13"/>
  <c r="GS53" i="13"/>
  <c r="GQ53" i="13"/>
  <c r="GO53" i="13"/>
  <c r="GM53" i="13"/>
  <c r="GK53" i="13"/>
  <c r="GI53" i="13"/>
  <c r="GG53" i="13"/>
  <c r="GE53" i="13"/>
  <c r="GC53" i="13"/>
  <c r="GA53" i="13"/>
  <c r="FY53" i="13"/>
  <c r="FW53" i="13"/>
  <c r="FU53" i="13"/>
  <c r="FS53" i="13"/>
  <c r="FQ53" i="13"/>
  <c r="FO53" i="13"/>
  <c r="FM53" i="13"/>
  <c r="FK53" i="13"/>
  <c r="FI53" i="13"/>
  <c r="FM52" i="13"/>
  <c r="FK52" i="13"/>
  <c r="FI52" i="13"/>
  <c r="GQ52" i="13"/>
  <c r="GI52" i="13"/>
  <c r="GA52" i="13"/>
  <c r="FS52" i="13"/>
  <c r="FM51" i="13"/>
  <c r="FK51" i="13"/>
  <c r="FI51" i="13"/>
  <c r="GQ51" i="13"/>
  <c r="GI51" i="13"/>
  <c r="GA51" i="13"/>
  <c r="FS51" i="13"/>
  <c r="FM50" i="13"/>
  <c r="FK50" i="13"/>
  <c r="FI50" i="13"/>
  <c r="GQ50" i="13"/>
  <c r="GI50" i="13"/>
  <c r="GA50" i="13"/>
  <c r="FS50" i="13"/>
  <c r="FO50" i="13"/>
  <c r="FM49" i="13"/>
  <c r="FK49" i="13"/>
  <c r="FI49" i="13"/>
  <c r="GQ49" i="13"/>
  <c r="GI49" i="13"/>
  <c r="GA49" i="13"/>
  <c r="FS49" i="13"/>
  <c r="FM48" i="13"/>
  <c r="FK48" i="13"/>
  <c r="FI48" i="13"/>
  <c r="GQ48" i="13"/>
  <c r="FM44" i="13"/>
  <c r="FK44" i="13"/>
  <c r="FI44" i="13"/>
  <c r="FM43" i="13"/>
  <c r="FK43" i="13"/>
  <c r="FI43" i="13"/>
  <c r="GQ43" i="13"/>
  <c r="GI43" i="13"/>
  <c r="GA43" i="13"/>
  <c r="FS43" i="13"/>
  <c r="FM42" i="13"/>
  <c r="FK42" i="13"/>
  <c r="FI42" i="13"/>
  <c r="GQ42" i="13"/>
  <c r="GI42" i="13"/>
  <c r="GA42" i="13"/>
  <c r="FS42" i="13"/>
  <c r="FM41" i="13"/>
  <c r="FK41" i="13"/>
  <c r="FI41" i="13"/>
  <c r="GQ41" i="13"/>
  <c r="FM40" i="13"/>
  <c r="FK40" i="13"/>
  <c r="FI40" i="13"/>
  <c r="FS40" i="13"/>
  <c r="FM39" i="13"/>
  <c r="FK39" i="13"/>
  <c r="FI39" i="13"/>
  <c r="GU39" i="13"/>
  <c r="FS39" i="13"/>
  <c r="FM38" i="13"/>
  <c r="FK38" i="13"/>
  <c r="FI38" i="13"/>
  <c r="GQ38" i="13"/>
  <c r="GI38" i="13"/>
  <c r="GA38" i="13"/>
  <c r="FS38" i="13"/>
  <c r="FM37" i="13"/>
  <c r="FK37" i="13"/>
  <c r="FI37" i="13"/>
  <c r="GQ37" i="13"/>
  <c r="GI37" i="13"/>
  <c r="GA37" i="13"/>
  <c r="FS37" i="13"/>
  <c r="FM35" i="13"/>
  <c r="FK35" i="13"/>
  <c r="FI35" i="13"/>
  <c r="GQ35" i="13"/>
  <c r="GI35" i="13"/>
  <c r="GA35" i="13"/>
  <c r="FS35" i="13"/>
  <c r="FM33" i="13"/>
  <c r="FK33" i="13"/>
  <c r="FI33" i="13"/>
  <c r="GQ33" i="13"/>
  <c r="GI33" i="13"/>
  <c r="GA33" i="13"/>
  <c r="FS33" i="13"/>
  <c r="FO33" i="13"/>
  <c r="FM32" i="13"/>
  <c r="FK32" i="13"/>
  <c r="FI32" i="13"/>
  <c r="GQ32" i="13"/>
  <c r="GI32" i="13"/>
  <c r="GA32" i="13"/>
  <c r="FS32" i="13"/>
  <c r="FM31" i="13"/>
  <c r="FK31" i="13"/>
  <c r="FI31" i="13"/>
  <c r="GQ31" i="13"/>
  <c r="GI31" i="13"/>
  <c r="GA31" i="13"/>
  <c r="FS31" i="13"/>
  <c r="FO31" i="13"/>
  <c r="FM30" i="13"/>
  <c r="FK30" i="13"/>
  <c r="FI30" i="13"/>
  <c r="GQ30" i="13"/>
  <c r="GI30" i="13"/>
  <c r="GA30" i="13"/>
  <c r="FS30" i="13"/>
  <c r="FM29" i="13"/>
  <c r="FK29" i="13"/>
  <c r="FI29" i="13"/>
  <c r="GQ29" i="13"/>
  <c r="GI29" i="13"/>
  <c r="GA29" i="13"/>
  <c r="FS29" i="13"/>
  <c r="FM28" i="13"/>
  <c r="FK28" i="13"/>
  <c r="FI28" i="13"/>
  <c r="FM27" i="13"/>
  <c r="FK27" i="13"/>
  <c r="FI27" i="13"/>
  <c r="GQ27" i="13"/>
  <c r="GI27" i="13"/>
  <c r="GA27" i="13"/>
  <c r="FO27" i="13"/>
  <c r="FM26" i="13"/>
  <c r="FK26" i="13"/>
  <c r="FI26" i="13"/>
  <c r="GQ26" i="13"/>
  <c r="GI26" i="13"/>
  <c r="FM22" i="13"/>
  <c r="FK22" i="13"/>
  <c r="FI22" i="13"/>
  <c r="GA21" i="13"/>
  <c r="FM21" i="13"/>
  <c r="FK21" i="13"/>
  <c r="FI21" i="13"/>
  <c r="FG21" i="13"/>
  <c r="GQ21" i="13"/>
  <c r="GI21" i="13"/>
  <c r="FU21" i="13"/>
  <c r="FS21" i="13"/>
  <c r="FM19" i="13"/>
  <c r="FK19" i="13"/>
  <c r="FI19" i="13"/>
  <c r="GQ19" i="13"/>
  <c r="GI19" i="13"/>
  <c r="GA19" i="13"/>
  <c r="FS19" i="13"/>
  <c r="FM18" i="13"/>
  <c r="FK18" i="13"/>
  <c r="FI18" i="13"/>
  <c r="GQ18" i="13"/>
  <c r="GI18" i="13"/>
  <c r="GA18" i="13"/>
  <c r="FS18" i="13"/>
  <c r="FM17" i="13"/>
  <c r="FK17" i="13"/>
  <c r="FI17" i="13"/>
  <c r="GQ17" i="13"/>
  <c r="GI17" i="13"/>
  <c r="GA17" i="13"/>
  <c r="FS17" i="13"/>
  <c r="FM16" i="13"/>
  <c r="FK16" i="13"/>
  <c r="FI16" i="13"/>
  <c r="GQ16" i="13"/>
  <c r="GI16" i="13"/>
  <c r="GA16" i="13"/>
  <c r="FS16" i="13"/>
  <c r="FM15" i="13"/>
  <c r="FK15" i="13"/>
  <c r="FI15" i="13"/>
  <c r="GQ15" i="13"/>
  <c r="GI15" i="13"/>
  <c r="GA15" i="13"/>
  <c r="FS15" i="13"/>
  <c r="FM14" i="13"/>
  <c r="FK14" i="13"/>
  <c r="FI14" i="13"/>
  <c r="GQ14" i="13"/>
  <c r="GI14" i="13"/>
  <c r="GA14" i="13"/>
  <c r="FS14" i="13"/>
  <c r="FM13" i="13"/>
  <c r="FK13" i="13"/>
  <c r="FI13" i="13"/>
  <c r="GQ13" i="13"/>
  <c r="GI13" i="13"/>
  <c r="GA13" i="13"/>
  <c r="FS13" i="13"/>
  <c r="FO13" i="13"/>
  <c r="FM12" i="13"/>
  <c r="FK12" i="13"/>
  <c r="FI12" i="13"/>
  <c r="GQ12" i="13"/>
  <c r="GI12" i="13"/>
  <c r="GA12" i="13"/>
  <c r="FS12" i="13"/>
  <c r="FM11" i="13"/>
  <c r="FK11" i="13"/>
  <c r="FI11" i="13"/>
  <c r="GQ11" i="13"/>
  <c r="GI11" i="13"/>
  <c r="GA11" i="13"/>
  <c r="FS11" i="13"/>
  <c r="FM10" i="13"/>
  <c r="FK10" i="13"/>
  <c r="FI10" i="13"/>
  <c r="GQ10" i="13"/>
  <c r="GI10" i="13"/>
  <c r="GA10" i="13"/>
  <c r="FS10" i="13"/>
  <c r="FM9" i="13"/>
  <c r="FK9" i="13"/>
  <c r="FI9" i="13"/>
  <c r="FO9" i="13"/>
  <c r="FM7" i="13"/>
  <c r="FK7" i="13"/>
  <c r="FI7" i="13"/>
  <c r="GQ7" i="13"/>
  <c r="GI7" i="13"/>
  <c r="GA7" i="13"/>
  <c r="FS7" i="13"/>
  <c r="FM6" i="13"/>
  <c r="FK6" i="13"/>
  <c r="FI6" i="13"/>
  <c r="FM5" i="13"/>
  <c r="FK5" i="13"/>
  <c r="FI5" i="13"/>
  <c r="GU1" i="13"/>
  <c r="GS1" i="13"/>
  <c r="GQ1" i="13"/>
  <c r="GO1" i="13"/>
  <c r="GM1" i="13"/>
  <c r="GK1" i="13"/>
  <c r="GI1" i="13"/>
  <c r="GG1" i="13"/>
  <c r="GE1" i="13"/>
  <c r="GC1" i="13"/>
  <c r="GA1" i="13"/>
  <c r="FY1" i="13"/>
  <c r="FW1" i="13"/>
  <c r="FU1" i="13"/>
  <c r="FS1" i="13"/>
  <c r="FQ1" i="13"/>
  <c r="FO1" i="13"/>
  <c r="FM1" i="13"/>
  <c r="FK1" i="13"/>
  <c r="FI1" i="13"/>
  <c r="FG1" i="13"/>
  <c r="FM57" i="4"/>
  <c r="FK57" i="4"/>
  <c r="FM56" i="4"/>
  <c r="GI56" i="4"/>
  <c r="GA56" i="4"/>
  <c r="FS56" i="4"/>
  <c r="FO56" i="4"/>
  <c r="DA47" i="4"/>
  <c r="CY47" i="4"/>
  <c r="CW43" i="4"/>
  <c r="CU43" i="4"/>
  <c r="CS43" i="4"/>
  <c r="CQ43" i="4"/>
  <c r="CO43" i="4"/>
  <c r="CM43" i="4"/>
  <c r="CK43" i="4"/>
  <c r="CI43" i="4"/>
  <c r="CG43" i="4"/>
  <c r="CE43" i="4"/>
  <c r="BW43" i="4"/>
  <c r="GU41" i="4"/>
  <c r="GQ41" i="4"/>
  <c r="GO41" i="4"/>
  <c r="GM41" i="4"/>
  <c r="GK41" i="4"/>
  <c r="GI41" i="4"/>
  <c r="GG41" i="4"/>
  <c r="GE41" i="4"/>
  <c r="GA41" i="4"/>
  <c r="FY41" i="4"/>
  <c r="FW41" i="4"/>
  <c r="FS41" i="4"/>
  <c r="FM41" i="4"/>
  <c r="FK41" i="4"/>
  <c r="FI41" i="4"/>
  <c r="FG41" i="4"/>
  <c r="GC41" i="4"/>
  <c r="FU41" i="4"/>
  <c r="GU40" i="4"/>
  <c r="GQ40" i="4"/>
  <c r="GO40" i="4"/>
  <c r="GM40" i="4"/>
  <c r="GK40" i="4"/>
  <c r="GI40" i="4"/>
  <c r="GG40" i="4"/>
  <c r="GE40" i="4"/>
  <c r="GC40" i="4"/>
  <c r="GA40" i="4"/>
  <c r="FY40" i="4"/>
  <c r="FW40" i="4"/>
  <c r="FU40" i="4"/>
  <c r="FS40" i="4"/>
  <c r="FQ40" i="4"/>
  <c r="FO40" i="4"/>
  <c r="FM40" i="4"/>
  <c r="FK40" i="4"/>
  <c r="FI40" i="4"/>
  <c r="FG40" i="4"/>
  <c r="GU39" i="4"/>
  <c r="GQ39" i="4"/>
  <c r="GO39" i="4"/>
  <c r="GM39" i="4"/>
  <c r="GK39" i="4"/>
  <c r="GI39" i="4"/>
  <c r="GG39" i="4"/>
  <c r="GE39" i="4"/>
  <c r="GA39" i="4"/>
  <c r="FY39" i="4"/>
  <c r="FW39" i="4"/>
  <c r="FS39" i="4"/>
  <c r="FM39" i="4"/>
  <c r="FK39" i="4"/>
  <c r="FI39" i="4"/>
  <c r="FG39" i="4"/>
  <c r="GC39" i="4"/>
  <c r="FU39" i="4"/>
  <c r="GU38" i="4"/>
  <c r="GQ38" i="4"/>
  <c r="GO38" i="4"/>
  <c r="GM38" i="4"/>
  <c r="GK38" i="4"/>
  <c r="GI38" i="4"/>
  <c r="GG38" i="4"/>
  <c r="GE38" i="4"/>
  <c r="GC38" i="4"/>
  <c r="GA38" i="4"/>
  <c r="FY38" i="4"/>
  <c r="FW38" i="4"/>
  <c r="FU38" i="4"/>
  <c r="FS38" i="4"/>
  <c r="FQ38" i="4"/>
  <c r="FO38" i="4"/>
  <c r="FM38" i="4"/>
  <c r="FK38" i="4"/>
  <c r="FI38" i="4"/>
  <c r="FG38" i="4"/>
  <c r="GU37" i="4"/>
  <c r="GQ37" i="4"/>
  <c r="GO37" i="4"/>
  <c r="GM37" i="4"/>
  <c r="GK37" i="4"/>
  <c r="GI37" i="4"/>
  <c r="GG37" i="4"/>
  <c r="GE37" i="4"/>
  <c r="GC37" i="4"/>
  <c r="GA37" i="4"/>
  <c r="FY37" i="4"/>
  <c r="FW37" i="4"/>
  <c r="FU37" i="4"/>
  <c r="FS37" i="4"/>
  <c r="FQ37" i="4"/>
  <c r="FO37" i="4"/>
  <c r="FM37" i="4"/>
  <c r="FK37" i="4"/>
  <c r="FI37" i="4"/>
  <c r="FG37" i="4"/>
  <c r="GU36" i="4"/>
  <c r="GQ36" i="4"/>
  <c r="GO36" i="4"/>
  <c r="GM36" i="4"/>
  <c r="GK36" i="4"/>
  <c r="GI36" i="4"/>
  <c r="GG36" i="4"/>
  <c r="GE36" i="4"/>
  <c r="GC36" i="4"/>
  <c r="GA36" i="4"/>
  <c r="FY36" i="4"/>
  <c r="FW36" i="4"/>
  <c r="FU36" i="4"/>
  <c r="FS36" i="4"/>
  <c r="FQ36" i="4"/>
  <c r="FO36" i="4"/>
  <c r="FM36" i="4"/>
  <c r="FK36" i="4"/>
  <c r="FI36" i="4"/>
  <c r="FG36" i="4"/>
  <c r="GU35" i="4"/>
  <c r="GQ35" i="4"/>
  <c r="GO35" i="4"/>
  <c r="GM35" i="4"/>
  <c r="GK35" i="4"/>
  <c r="GI35" i="4"/>
  <c r="GG35" i="4"/>
  <c r="GE35" i="4"/>
  <c r="GC35" i="4"/>
  <c r="GA35" i="4"/>
  <c r="FY35" i="4"/>
  <c r="FW35" i="4"/>
  <c r="FU35" i="4"/>
  <c r="FS35" i="4"/>
  <c r="FQ35" i="4"/>
  <c r="FO35" i="4"/>
  <c r="FM35" i="4"/>
  <c r="FK35" i="4"/>
  <c r="FI35" i="4"/>
  <c r="FG35" i="4"/>
  <c r="GU34" i="4"/>
  <c r="GQ34" i="4"/>
  <c r="GO34" i="4"/>
  <c r="GM34" i="4"/>
  <c r="GK34" i="4"/>
  <c r="GI34" i="4"/>
  <c r="GG34" i="4"/>
  <c r="GE34" i="4"/>
  <c r="GC34" i="4"/>
  <c r="GA34" i="4"/>
  <c r="FY34" i="4"/>
  <c r="FW34" i="4"/>
  <c r="FU34" i="4"/>
  <c r="FS34" i="4"/>
  <c r="FQ34" i="4"/>
  <c r="FO34" i="4"/>
  <c r="FM34" i="4"/>
  <c r="FK34" i="4"/>
  <c r="FI34" i="4"/>
  <c r="FG34" i="4"/>
  <c r="GU30" i="4"/>
  <c r="GQ30" i="4"/>
  <c r="GO30" i="4"/>
  <c r="GM30" i="4"/>
  <c r="GK30" i="4"/>
  <c r="GI30" i="4"/>
  <c r="GG30" i="4"/>
  <c r="GE30" i="4"/>
  <c r="GC30" i="4"/>
  <c r="GA30" i="4"/>
  <c r="FY30" i="4"/>
  <c r="FW30" i="4"/>
  <c r="FU30" i="4"/>
  <c r="FS30" i="4"/>
  <c r="FQ30" i="4"/>
  <c r="FO30" i="4"/>
  <c r="FM30" i="4"/>
  <c r="FK30" i="4"/>
  <c r="FI30" i="4"/>
  <c r="FG30" i="4"/>
  <c r="GU25" i="4"/>
  <c r="GS25" i="4"/>
  <c r="GQ25" i="4"/>
  <c r="GO25" i="4"/>
  <c r="GM25" i="4"/>
  <c r="GK25" i="4"/>
  <c r="FM25" i="4"/>
  <c r="FK25" i="4"/>
  <c r="FI25" i="4"/>
  <c r="GI25" i="4"/>
  <c r="GA25" i="4"/>
  <c r="FS25" i="4"/>
  <c r="GU21" i="4"/>
  <c r="GQ21" i="4"/>
  <c r="GO21" i="4"/>
  <c r="GM21" i="4"/>
  <c r="GK21" i="4"/>
  <c r="GI21" i="4"/>
  <c r="GG21" i="4"/>
  <c r="GE21" i="4"/>
  <c r="GC21" i="4"/>
  <c r="GA21" i="4"/>
  <c r="FY21" i="4"/>
  <c r="FW21" i="4"/>
  <c r="FU21" i="4"/>
  <c r="FS21" i="4"/>
  <c r="FQ21" i="4"/>
  <c r="FO21" i="4"/>
  <c r="FM21" i="4"/>
  <c r="FK21" i="4"/>
  <c r="FI21" i="4"/>
  <c r="FG21" i="4"/>
  <c r="GU20" i="4"/>
  <c r="GS20" i="4"/>
  <c r="GQ20" i="4"/>
  <c r="GO20" i="4"/>
  <c r="GM20" i="4"/>
  <c r="GK20" i="4"/>
  <c r="GI20" i="4"/>
  <c r="GG20" i="4"/>
  <c r="GE20" i="4"/>
  <c r="GC20" i="4"/>
  <c r="GA20" i="4"/>
  <c r="FY20" i="4"/>
  <c r="FW20" i="4"/>
  <c r="FU20" i="4"/>
  <c r="FS20" i="4"/>
  <c r="FQ20" i="4"/>
  <c r="FO20" i="4"/>
  <c r="FM20" i="4"/>
  <c r="FK20" i="4"/>
  <c r="FI20" i="4"/>
  <c r="FG20" i="4"/>
  <c r="GU19" i="4"/>
  <c r="GS19" i="4"/>
  <c r="GQ19" i="4"/>
  <c r="GO19" i="4"/>
  <c r="GM19" i="4"/>
  <c r="GK19" i="4"/>
  <c r="FM19" i="4"/>
  <c r="FK19" i="4"/>
  <c r="FI19" i="4"/>
  <c r="FG19" i="4"/>
  <c r="GI19" i="4"/>
  <c r="GA19" i="4"/>
  <c r="FS19" i="4"/>
  <c r="GU18" i="4"/>
  <c r="GS18" i="4"/>
  <c r="GQ18" i="4"/>
  <c r="GO18" i="4"/>
  <c r="GM18" i="4"/>
  <c r="GK18" i="4"/>
  <c r="FM18" i="4"/>
  <c r="FK18" i="4"/>
  <c r="FI18" i="4"/>
  <c r="FG18" i="4"/>
  <c r="GI18" i="4"/>
  <c r="FS18" i="4"/>
  <c r="GU14" i="4"/>
  <c r="GS14" i="4"/>
  <c r="GQ14" i="4"/>
  <c r="GO14" i="4"/>
  <c r="GM14" i="4"/>
  <c r="GK14" i="4"/>
  <c r="FM14" i="4"/>
  <c r="FK14" i="4"/>
  <c r="FI14" i="4"/>
  <c r="GI14" i="4"/>
  <c r="GA14" i="4"/>
  <c r="FS14" i="4"/>
  <c r="GU12" i="4"/>
  <c r="GS12" i="4"/>
  <c r="GQ12" i="4"/>
  <c r="GO12" i="4"/>
  <c r="GM12" i="4"/>
  <c r="GK12" i="4"/>
  <c r="FM12" i="4"/>
  <c r="FK12" i="4"/>
  <c r="FI12" i="4"/>
  <c r="GI12" i="4"/>
  <c r="GA12" i="4"/>
  <c r="FS12" i="4"/>
  <c r="GU11" i="4"/>
  <c r="GS11" i="4"/>
  <c r="GQ11" i="4"/>
  <c r="GO11" i="4"/>
  <c r="GM11" i="4"/>
  <c r="GK11" i="4"/>
  <c r="FM11" i="4"/>
  <c r="FK11" i="4"/>
  <c r="FI11" i="4"/>
  <c r="GI11" i="4"/>
  <c r="GA11" i="4"/>
  <c r="FS11" i="4"/>
  <c r="GU10" i="4"/>
  <c r="GS10" i="4"/>
  <c r="GQ10" i="4"/>
  <c r="GO10" i="4"/>
  <c r="GM10" i="4"/>
  <c r="GK10" i="4"/>
  <c r="FM10" i="4"/>
  <c r="FK10" i="4"/>
  <c r="FI10" i="4"/>
  <c r="GI10" i="4"/>
  <c r="FS10" i="4"/>
  <c r="GU9" i="4"/>
  <c r="GS9" i="4"/>
  <c r="GQ9" i="4"/>
  <c r="GO9" i="4"/>
  <c r="GM9" i="4"/>
  <c r="GK9" i="4"/>
  <c r="FM9" i="4"/>
  <c r="FK9" i="4"/>
  <c r="FI9" i="4"/>
  <c r="GI9" i="4"/>
  <c r="GA9" i="4"/>
  <c r="CW7" i="4"/>
  <c r="CW16" i="4" s="1"/>
  <c r="CW23" i="4" s="1"/>
  <c r="CU7" i="4"/>
  <c r="CU16" i="4" s="1"/>
  <c r="CU23" i="4" s="1"/>
  <c r="CS7" i="4"/>
  <c r="CS16" i="4" s="1"/>
  <c r="CS23" i="4" s="1"/>
  <c r="CQ7" i="4"/>
  <c r="CQ16" i="4" s="1"/>
  <c r="CQ23" i="4" s="1"/>
  <c r="CO7" i="4"/>
  <c r="CO16" i="4" s="1"/>
  <c r="CO23" i="4" s="1"/>
  <c r="CM7" i="4"/>
  <c r="CM16" i="4" s="1"/>
  <c r="CM23" i="4" s="1"/>
  <c r="CK7" i="4"/>
  <c r="CK16" i="4" s="1"/>
  <c r="CK23" i="4" s="1"/>
  <c r="GU5" i="4"/>
  <c r="GS5" i="4"/>
  <c r="GQ5" i="4"/>
  <c r="GO5" i="4"/>
  <c r="GM5" i="4"/>
  <c r="GK5" i="4"/>
  <c r="FM5" i="4"/>
  <c r="FK5" i="4"/>
  <c r="FI5" i="4"/>
  <c r="FG5" i="4"/>
  <c r="GI5" i="4"/>
  <c r="GA5" i="4"/>
  <c r="FS5" i="4"/>
  <c r="GU4" i="4"/>
  <c r="GS4" i="4"/>
  <c r="GQ4" i="4"/>
  <c r="GO4" i="4"/>
  <c r="GM4" i="4"/>
  <c r="GK4" i="4"/>
  <c r="FM4" i="4"/>
  <c r="FK4" i="4"/>
  <c r="FI4" i="4"/>
  <c r="GI4" i="4"/>
  <c r="GG1" i="4"/>
  <c r="GE1" i="4"/>
  <c r="GC1" i="4"/>
  <c r="FY1" i="4"/>
  <c r="FW1" i="4"/>
  <c r="FU1" i="4"/>
  <c r="FS1" i="4"/>
  <c r="FQ1" i="4"/>
  <c r="FO1" i="4"/>
  <c r="FM1" i="4"/>
  <c r="FK1" i="4"/>
  <c r="FI1" i="4"/>
  <c r="FG1" i="4"/>
  <c r="BX93" i="12"/>
  <c r="BT93" i="12"/>
  <c r="BR93" i="12" s="1"/>
  <c r="BP93" i="12" s="1"/>
  <c r="XF46" i="10"/>
  <c r="XB46" i="10"/>
  <c r="WS46" i="10"/>
  <c r="WO46" i="10"/>
  <c r="PD46" i="10"/>
  <c r="OZ46" i="10"/>
  <c r="OQ46" i="10"/>
  <c r="OM46" i="10"/>
  <c r="XU43" i="10"/>
  <c r="WH43" i="10"/>
  <c r="VU43" i="10"/>
  <c r="PU43" i="10"/>
  <c r="PH43" i="10"/>
  <c r="XQ40" i="10"/>
  <c r="XO40" i="10"/>
  <c r="XD40" i="10"/>
  <c r="XB40" i="10"/>
  <c r="WQ40" i="10"/>
  <c r="WO40" i="10"/>
  <c r="WD40" i="10"/>
  <c r="WB40" i="10"/>
  <c r="VQ40" i="10"/>
  <c r="VO40" i="10"/>
  <c r="VD40" i="10"/>
  <c r="VB40" i="10"/>
  <c r="UQ40" i="10"/>
  <c r="UO40" i="10"/>
  <c r="TD40" i="10"/>
  <c r="TB40" i="10"/>
  <c r="SQ40" i="10"/>
  <c r="SO40" i="10"/>
  <c r="SD40" i="10"/>
  <c r="SB40" i="10"/>
  <c r="RQ40" i="10"/>
  <c r="RO40" i="10"/>
  <c r="RD40" i="10"/>
  <c r="QQ40" i="10"/>
  <c r="QO40" i="10"/>
  <c r="QD40" i="10"/>
  <c r="QB40" i="10"/>
  <c r="PO40" i="10"/>
  <c r="PD40" i="10"/>
  <c r="PB40" i="10"/>
  <c r="OQ40" i="10"/>
  <c r="OO40" i="10"/>
  <c r="XU39" i="10"/>
  <c r="XS39" i="10"/>
  <c r="XQ39" i="10"/>
  <c r="XO39" i="10"/>
  <c r="XH39" i="10"/>
  <c r="XF39" i="10"/>
  <c r="XD39" i="10"/>
  <c r="WU39" i="10"/>
  <c r="WS39" i="10"/>
  <c r="WQ39" i="10"/>
  <c r="WH39" i="10"/>
  <c r="WF39" i="10"/>
  <c r="WD39" i="10"/>
  <c r="WB39" i="10"/>
  <c r="VU39" i="10"/>
  <c r="VS39" i="10"/>
  <c r="VQ39" i="10"/>
  <c r="VO39" i="10"/>
  <c r="VH39" i="10"/>
  <c r="VF39" i="10"/>
  <c r="VD39" i="10"/>
  <c r="UU39" i="10"/>
  <c r="US39" i="10"/>
  <c r="UQ39" i="10"/>
  <c r="PU39" i="10"/>
  <c r="PS39" i="10"/>
  <c r="PO39" i="10"/>
  <c r="PH39" i="10"/>
  <c r="PF39" i="10"/>
  <c r="PD39" i="10"/>
  <c r="PB39" i="10"/>
  <c r="OZ39" i="10"/>
  <c r="OU39" i="10"/>
  <c r="OS39" i="10"/>
  <c r="OQ39" i="10"/>
  <c r="OM39" i="10"/>
  <c r="XU38" i="10"/>
  <c r="XS38" i="10"/>
  <c r="XQ38" i="10"/>
  <c r="XO38" i="10"/>
  <c r="XF38" i="10"/>
  <c r="XD38" i="10"/>
  <c r="WS38" i="10"/>
  <c r="WQ38" i="10"/>
  <c r="WF38" i="10"/>
  <c r="WD38" i="10"/>
  <c r="WB38" i="10"/>
  <c r="VS38" i="10"/>
  <c r="VQ38" i="10"/>
  <c r="VO38" i="10"/>
  <c r="VH38" i="10"/>
  <c r="VF38" i="10"/>
  <c r="VD38" i="10"/>
  <c r="UU38" i="10"/>
  <c r="US38" i="10"/>
  <c r="UQ38" i="10"/>
  <c r="PS38" i="10"/>
  <c r="PO38" i="10"/>
  <c r="PF38" i="10"/>
  <c r="PD38" i="10"/>
  <c r="PB38" i="10"/>
  <c r="OZ38" i="10"/>
  <c r="OS38" i="10"/>
  <c r="OQ38" i="10"/>
  <c r="OM38" i="10"/>
  <c r="XO37" i="10"/>
  <c r="WB37" i="10"/>
  <c r="VO37" i="10"/>
  <c r="PS37" i="10"/>
  <c r="PO37" i="10"/>
  <c r="PF37" i="10"/>
  <c r="PD37" i="10"/>
  <c r="PB37" i="10"/>
  <c r="OZ37" i="10"/>
  <c r="OS37" i="10"/>
  <c r="OQ37" i="10"/>
  <c r="OM37" i="10"/>
  <c r="XR36" i="10"/>
  <c r="XE36" i="10"/>
  <c r="WR36" i="10"/>
  <c r="WE36" i="10"/>
  <c r="VR36" i="10"/>
  <c r="VE36" i="10"/>
  <c r="UR36" i="10"/>
  <c r="UE36" i="10"/>
  <c r="TR36" i="10"/>
  <c r="TE36" i="10"/>
  <c r="SR36" i="10"/>
  <c r="SE36" i="10"/>
  <c r="RR36" i="10"/>
  <c r="RE36" i="10"/>
  <c r="QR36" i="10"/>
  <c r="PR36" i="10"/>
  <c r="PE36" i="10"/>
  <c r="OR36" i="10"/>
  <c r="XQ34" i="10"/>
  <c r="XO34" i="10"/>
  <c r="XM34" i="10"/>
  <c r="XD34" i="10"/>
  <c r="XB34" i="10"/>
  <c r="WZ34" i="10"/>
  <c r="WQ34" i="10"/>
  <c r="WO34" i="10"/>
  <c r="WM34" i="10"/>
  <c r="WD34" i="10"/>
  <c r="WB34" i="10"/>
  <c r="VZ34" i="10"/>
  <c r="VQ34" i="10"/>
  <c r="VO34" i="10"/>
  <c r="VM34" i="10"/>
  <c r="VD34" i="10"/>
  <c r="VB34" i="10"/>
  <c r="UZ34" i="10"/>
  <c r="UQ34" i="10"/>
  <c r="UO34" i="10"/>
  <c r="UM34" i="10"/>
  <c r="PS34" i="10"/>
  <c r="PO34" i="10"/>
  <c r="PF34" i="10"/>
  <c r="PD34" i="10"/>
  <c r="PB34" i="10"/>
  <c r="OZ34" i="10"/>
  <c r="OS34" i="10"/>
  <c r="OQ34" i="10"/>
  <c r="OM34" i="10"/>
  <c r="OD34" i="10"/>
  <c r="XU33" i="10"/>
  <c r="XS33" i="10"/>
  <c r="XQ33" i="10"/>
  <c r="XO33" i="10"/>
  <c r="XM33" i="10"/>
  <c r="XH33" i="10"/>
  <c r="XF33" i="10"/>
  <c r="XB33" i="10"/>
  <c r="WZ33" i="10"/>
  <c r="WU33" i="10"/>
  <c r="WS33" i="10"/>
  <c r="WO33" i="10"/>
  <c r="WM33" i="10"/>
  <c r="WH33" i="10"/>
  <c r="WF33" i="10"/>
  <c r="WD33" i="10"/>
  <c r="WB33" i="10"/>
  <c r="VZ33" i="10"/>
  <c r="VU33" i="10"/>
  <c r="VS33" i="10"/>
  <c r="VQ33" i="10"/>
  <c r="VO33" i="10"/>
  <c r="VM33" i="10"/>
  <c r="VH33" i="10"/>
  <c r="VF33" i="10"/>
  <c r="VB33" i="10"/>
  <c r="UU33" i="10"/>
  <c r="US33" i="10"/>
  <c r="UO33" i="10"/>
  <c r="PU33" i="10"/>
  <c r="PS33" i="10"/>
  <c r="PO33" i="10"/>
  <c r="PH33" i="10"/>
  <c r="PF33" i="10"/>
  <c r="PD33" i="10"/>
  <c r="PB33" i="10"/>
  <c r="OZ33" i="10"/>
  <c r="OU33" i="10"/>
  <c r="OS33" i="10"/>
  <c r="OQ33" i="10"/>
  <c r="OO33" i="10"/>
  <c r="OM33" i="10"/>
  <c r="OD33" i="10"/>
  <c r="XU32" i="10"/>
  <c r="XS32" i="10"/>
  <c r="XH32" i="10"/>
  <c r="XF32" i="10"/>
  <c r="WU32" i="10"/>
  <c r="WS32" i="10"/>
  <c r="WH32" i="10"/>
  <c r="WF32" i="10"/>
  <c r="VU32" i="10"/>
  <c r="VS32" i="10"/>
  <c r="VH32" i="10"/>
  <c r="UU32" i="10"/>
  <c r="PU32" i="10"/>
  <c r="PS32" i="10"/>
  <c r="PO32" i="10"/>
  <c r="PH32" i="10"/>
  <c r="PF32" i="10"/>
  <c r="PD32" i="10"/>
  <c r="PB32" i="10"/>
  <c r="OZ32" i="10"/>
  <c r="OU32" i="10"/>
  <c r="OS32" i="10"/>
  <c r="OQ32" i="10"/>
  <c r="OD32" i="10"/>
  <c r="XR31" i="10"/>
  <c r="XE31" i="10"/>
  <c r="WR31" i="10"/>
  <c r="WE31" i="10"/>
  <c r="VR31" i="10"/>
  <c r="VE31" i="10"/>
  <c r="UR31" i="10"/>
  <c r="UE31" i="10"/>
  <c r="TR31" i="10"/>
  <c r="TE31" i="10"/>
  <c r="SR31" i="10"/>
  <c r="SE31" i="10"/>
  <c r="RR31" i="10"/>
  <c r="RE31" i="10"/>
  <c r="QR31" i="10"/>
  <c r="PR31" i="10"/>
  <c r="PE31" i="10"/>
  <c r="OR31" i="10"/>
  <c r="WZ28" i="10"/>
  <c r="UZ28" i="10"/>
  <c r="SZ28" i="10"/>
  <c r="QZ28" i="10"/>
  <c r="QM28" i="10"/>
  <c r="PZ28" i="10"/>
  <c r="PM28" i="10"/>
  <c r="OZ28" i="10"/>
  <c r="OM28" i="10"/>
  <c r="NZ28" i="10"/>
  <c r="XJ22" i="10"/>
  <c r="XH22" i="10"/>
  <c r="XF22" i="10"/>
  <c r="XD22" i="10"/>
  <c r="XB22" i="10"/>
  <c r="WZ22" i="10"/>
  <c r="VJ22" i="10"/>
  <c r="VH22" i="10"/>
  <c r="VF22" i="10"/>
  <c r="VD22" i="10"/>
  <c r="VB22" i="10"/>
  <c r="UZ22" i="10"/>
  <c r="YJ20" i="10"/>
  <c r="YH20" i="10"/>
  <c r="XU46" i="10" s="1"/>
  <c r="YF20" i="10"/>
  <c r="XS46" i="10" s="1"/>
  <c r="YD20" i="10"/>
  <c r="XQ46" i="10" s="1"/>
  <c r="YB20" i="10"/>
  <c r="XO46" i="10" s="1"/>
  <c r="XZ20" i="10"/>
  <c r="XM46" i="10" s="1"/>
  <c r="XN20" i="10"/>
  <c r="XJ20" i="10"/>
  <c r="XH20" i="10"/>
  <c r="XD20" i="10"/>
  <c r="WZ20" i="10"/>
  <c r="WM46" i="10" s="1"/>
  <c r="WH20" i="10"/>
  <c r="VU46" i="10" s="1"/>
  <c r="WF20" i="10"/>
  <c r="WE20" i="10"/>
  <c r="WD20" i="10"/>
  <c r="WD46" i="10" s="1"/>
  <c r="WB20" i="10"/>
  <c r="VZ20" i="10"/>
  <c r="VT20" i="10"/>
  <c r="VJ20" i="10"/>
  <c r="VH20" i="10"/>
  <c r="VF20" i="10"/>
  <c r="VD20" i="10"/>
  <c r="VB20" i="10"/>
  <c r="UZ20" i="10"/>
  <c r="UM46" i="10" s="1"/>
  <c r="UH46" i="10"/>
  <c r="UF46" i="10"/>
  <c r="UD46" i="10"/>
  <c r="UB46" i="10"/>
  <c r="TH46" i="10"/>
  <c r="TF46" i="10"/>
  <c r="TD46" i="10"/>
  <c r="TB46" i="10"/>
  <c r="RF46" i="10"/>
  <c r="RD46" i="10"/>
  <c r="RB46" i="10"/>
  <c r="PZ46" i="10"/>
  <c r="PJ20" i="10"/>
  <c r="XJ19" i="10"/>
  <c r="XH19" i="10"/>
  <c r="XF19" i="10"/>
  <c r="XD19" i="10"/>
  <c r="XB19" i="10"/>
  <c r="WZ19" i="10"/>
  <c r="VJ19" i="10"/>
  <c r="VH19" i="10"/>
  <c r="VF19" i="10"/>
  <c r="VD19" i="10"/>
  <c r="VB19" i="10"/>
  <c r="UZ19" i="10"/>
  <c r="TE19" i="10"/>
  <c r="TE22" i="10" s="1"/>
  <c r="SR19" i="10"/>
  <c r="SR22" i="10" s="1"/>
  <c r="RR19" i="10"/>
  <c r="RR22" i="10" s="1"/>
  <c r="RE19" i="10"/>
  <c r="RE22" i="10" s="1"/>
  <c r="QR19" i="10"/>
  <c r="QR22" i="10" s="1"/>
  <c r="QE19" i="10"/>
  <c r="QE22" i="10" s="1"/>
  <c r="PR19" i="10"/>
  <c r="PR22" i="10" s="1"/>
  <c r="OR19" i="10"/>
  <c r="OR22" i="10" s="1"/>
  <c r="YF17" i="10"/>
  <c r="XS43" i="10" s="1"/>
  <c r="XW17" i="10"/>
  <c r="XJ17" i="10"/>
  <c r="XH17" i="10"/>
  <c r="XF17" i="10"/>
  <c r="XF43" i="10" s="1"/>
  <c r="WF17" i="10"/>
  <c r="WJ17" i="10" s="1"/>
  <c r="VW17" i="10"/>
  <c r="VJ17" i="10"/>
  <c r="VH17" i="10"/>
  <c r="UU43" i="10" s="1"/>
  <c r="VF17" i="10"/>
  <c r="TH43" i="10"/>
  <c r="RH43" i="10"/>
  <c r="RF43" i="10"/>
  <c r="YH14" i="10"/>
  <c r="XU40" i="10" s="1"/>
  <c r="YF14" i="10"/>
  <c r="XS40" i="10" s="1"/>
  <c r="XW14" i="10"/>
  <c r="XJ14" i="10"/>
  <c r="XH14" i="10"/>
  <c r="XF14" i="10"/>
  <c r="XF40" i="10" s="1"/>
  <c r="WH14" i="10"/>
  <c r="WF14" i="10"/>
  <c r="VW14" i="10"/>
  <c r="VJ14" i="10"/>
  <c r="VH14" i="10"/>
  <c r="VF14" i="10"/>
  <c r="UF40" i="10"/>
  <c r="TQ40" i="10"/>
  <c r="UB40" i="10"/>
  <c r="TH40" i="10"/>
  <c r="RH40" i="10"/>
  <c r="PJ14" i="10"/>
  <c r="XZ13" i="10"/>
  <c r="XM39" i="10" s="1"/>
  <c r="XW13" i="10"/>
  <c r="XJ13" i="10"/>
  <c r="XB13" i="10"/>
  <c r="WZ13" i="10"/>
  <c r="VZ13" i="10"/>
  <c r="VW13" i="10"/>
  <c r="VJ13" i="10"/>
  <c r="VB13" i="10"/>
  <c r="UZ13" i="10"/>
  <c r="UH39" i="10"/>
  <c r="UF39" i="10"/>
  <c r="UD39" i="10"/>
  <c r="UB39" i="10"/>
  <c r="TZ39" i="10"/>
  <c r="TH39" i="10"/>
  <c r="TF39" i="10"/>
  <c r="TD39" i="10"/>
  <c r="TB39" i="10"/>
  <c r="SZ39" i="10"/>
  <c r="RH39" i="10"/>
  <c r="RF39" i="10"/>
  <c r="RD39" i="10"/>
  <c r="RB39" i="10"/>
  <c r="QZ39" i="10"/>
  <c r="QH39" i="10"/>
  <c r="QJ13" i="10"/>
  <c r="PW13" i="10"/>
  <c r="PJ13" i="10"/>
  <c r="XZ12" i="10"/>
  <c r="XM38" i="10" s="1"/>
  <c r="XW12" i="10"/>
  <c r="XJ12" i="10"/>
  <c r="XH12" i="10"/>
  <c r="XB12" i="10"/>
  <c r="WZ12" i="10"/>
  <c r="WZ38" i="10" s="1"/>
  <c r="WH12" i="10"/>
  <c r="WH38" i="10" s="1"/>
  <c r="VZ12" i="10"/>
  <c r="VW12" i="10"/>
  <c r="VJ12" i="10"/>
  <c r="VB12" i="10"/>
  <c r="UZ12" i="10"/>
  <c r="UZ38" i="10" s="1"/>
  <c r="UH38" i="10"/>
  <c r="UF38" i="10"/>
  <c r="UB38" i="10"/>
  <c r="TZ38" i="10"/>
  <c r="TH38" i="10"/>
  <c r="TF38" i="10"/>
  <c r="TD38" i="10"/>
  <c r="SZ38" i="10"/>
  <c r="RH38" i="10"/>
  <c r="RF38" i="10"/>
  <c r="RD38" i="10"/>
  <c r="QZ38" i="10"/>
  <c r="QD38" i="10"/>
  <c r="PZ38" i="10"/>
  <c r="QJ12" i="10"/>
  <c r="PJ12" i="10"/>
  <c r="YH11" i="10"/>
  <c r="XU37" i="10" s="1"/>
  <c r="YF11" i="10"/>
  <c r="XS37" i="10" s="1"/>
  <c r="YD11" i="10"/>
  <c r="XQ37" i="10" s="1"/>
  <c r="XZ11" i="10"/>
  <c r="XM37" i="10" s="1"/>
  <c r="XW11" i="10"/>
  <c r="XJ11" i="10"/>
  <c r="XH11" i="10"/>
  <c r="XF11" i="10"/>
  <c r="XF37" i="10" s="1"/>
  <c r="XD11" i="10"/>
  <c r="XB11" i="10"/>
  <c r="WZ11" i="10"/>
  <c r="WH11" i="10"/>
  <c r="WF11" i="10"/>
  <c r="WD11" i="10"/>
  <c r="WD10" i="10" s="1"/>
  <c r="VZ11" i="10"/>
  <c r="VW11" i="10"/>
  <c r="VJ11" i="10"/>
  <c r="VH11" i="10"/>
  <c r="VF11" i="10"/>
  <c r="VF37" i="10" s="1"/>
  <c r="VD11" i="10"/>
  <c r="VB11" i="10"/>
  <c r="UZ11" i="10"/>
  <c r="UH37" i="10"/>
  <c r="UF37" i="10"/>
  <c r="UD37" i="10"/>
  <c r="UB37" i="10"/>
  <c r="TZ37" i="10"/>
  <c r="TF37" i="10"/>
  <c r="TB37" i="10"/>
  <c r="RF37" i="10"/>
  <c r="RB37" i="10"/>
  <c r="PJ11" i="10"/>
  <c r="YG10" i="10"/>
  <c r="YB10" i="10"/>
  <c r="XU10" i="10"/>
  <c r="XT10" i="10"/>
  <c r="XS10" i="10"/>
  <c r="XQ10" i="10"/>
  <c r="XO10" i="10"/>
  <c r="XM10" i="10"/>
  <c r="XJ10" i="10"/>
  <c r="XH10" i="10"/>
  <c r="XF10" i="10"/>
  <c r="XD10" i="10"/>
  <c r="XB10" i="10"/>
  <c r="WZ10" i="10"/>
  <c r="WE10" i="10"/>
  <c r="WB10" i="10"/>
  <c r="VU10" i="10"/>
  <c r="VS10" i="10"/>
  <c r="VQ10" i="10"/>
  <c r="VO10" i="10"/>
  <c r="VM10" i="10"/>
  <c r="VJ10" i="10"/>
  <c r="VH10" i="10"/>
  <c r="VF10" i="10"/>
  <c r="VD10" i="10"/>
  <c r="VB10" i="10"/>
  <c r="UZ10" i="10"/>
  <c r="UE10" i="10"/>
  <c r="TR10" i="10"/>
  <c r="TR19" i="10" s="1"/>
  <c r="TR22" i="10" s="1"/>
  <c r="QD10" i="10"/>
  <c r="QB10" i="10"/>
  <c r="PZ10" i="10"/>
  <c r="PQ10" i="10"/>
  <c r="PO10" i="10"/>
  <c r="PM10" i="10"/>
  <c r="PH10" i="10"/>
  <c r="PF10" i="10"/>
  <c r="PD10" i="10"/>
  <c r="PB10" i="10"/>
  <c r="OZ10" i="10"/>
  <c r="OQ10" i="10"/>
  <c r="OM10" i="10"/>
  <c r="OD10" i="10"/>
  <c r="NZ10" i="10"/>
  <c r="YH8" i="10"/>
  <c r="XU34" i="10" s="1"/>
  <c r="YF8" i="10"/>
  <c r="XS34" i="10" s="1"/>
  <c r="XW8" i="10"/>
  <c r="XH8" i="10"/>
  <c r="XF8" i="10"/>
  <c r="XF34" i="10" s="1"/>
  <c r="WF8" i="10"/>
  <c r="VW8" i="10"/>
  <c r="VH8" i="10"/>
  <c r="VF8" i="10"/>
  <c r="UH34" i="10"/>
  <c r="UF34" i="10"/>
  <c r="UB34" i="10"/>
  <c r="TZ34" i="10"/>
  <c r="TH34" i="10"/>
  <c r="TF34" i="10"/>
  <c r="TD34" i="10"/>
  <c r="TB34" i="10"/>
  <c r="SZ34" i="10"/>
  <c r="RH34" i="10"/>
  <c r="RF34" i="10"/>
  <c r="RD34" i="10"/>
  <c r="RB34" i="10"/>
  <c r="QB34" i="10"/>
  <c r="PJ8" i="10"/>
  <c r="XW7" i="10"/>
  <c r="XJ7" i="10"/>
  <c r="XD7" i="10"/>
  <c r="WJ7" i="10"/>
  <c r="VW7" i="10"/>
  <c r="VJ7" i="10"/>
  <c r="VD7" i="10"/>
  <c r="UZ7" i="10"/>
  <c r="UM33" i="10" s="1"/>
  <c r="UH33" i="10"/>
  <c r="UF33" i="10"/>
  <c r="UD33" i="10"/>
  <c r="UB33" i="10"/>
  <c r="TF33" i="10"/>
  <c r="TD33" i="10"/>
  <c r="TB33" i="10"/>
  <c r="SZ33" i="10"/>
  <c r="RM33" i="10"/>
  <c r="RF33" i="10"/>
  <c r="RD33" i="10"/>
  <c r="RB33" i="10"/>
  <c r="QJ7" i="10"/>
  <c r="PW7" i="10"/>
  <c r="PJ7" i="10"/>
  <c r="OW7" i="10"/>
  <c r="OJ7" i="10"/>
  <c r="YJ6" i="10"/>
  <c r="YD6" i="10"/>
  <c r="XQ32" i="10" s="1"/>
  <c r="YB6" i="10"/>
  <c r="XO32" i="10" s="1"/>
  <c r="XZ6" i="10"/>
  <c r="XM32" i="10" s="1"/>
  <c r="XW6" i="10"/>
  <c r="XJ6" i="10"/>
  <c r="XD6" i="10"/>
  <c r="XB6" i="10"/>
  <c r="WZ6" i="10"/>
  <c r="WD6" i="10"/>
  <c r="WB6" i="10"/>
  <c r="WB32" i="10" s="1"/>
  <c r="VZ6" i="10"/>
  <c r="VJ6" i="10"/>
  <c r="VF6" i="10"/>
  <c r="US32" i="10" s="1"/>
  <c r="VD6" i="10"/>
  <c r="VB6" i="10"/>
  <c r="VB32" i="10" s="1"/>
  <c r="UZ6" i="10"/>
  <c r="UH32" i="10"/>
  <c r="UF32" i="10"/>
  <c r="UD32" i="10"/>
  <c r="UB32" i="10"/>
  <c r="TH32" i="10"/>
  <c r="SZ32" i="10"/>
  <c r="RH32" i="10"/>
  <c r="RF32" i="10"/>
  <c r="QZ32" i="10"/>
  <c r="QF32" i="10"/>
  <c r="QD32" i="10"/>
  <c r="QB32" i="10"/>
  <c r="QJ6" i="10"/>
  <c r="PW6" i="10"/>
  <c r="PJ6" i="10"/>
  <c r="YG5" i="10"/>
  <c r="XU5" i="10"/>
  <c r="XT5" i="10"/>
  <c r="XS5" i="10"/>
  <c r="XQ5" i="10"/>
  <c r="XO5" i="10"/>
  <c r="XM5" i="10"/>
  <c r="XM19" i="10" s="1"/>
  <c r="XM22" i="10" s="1"/>
  <c r="XJ5" i="10"/>
  <c r="XH5" i="10"/>
  <c r="XF5" i="10"/>
  <c r="XD5" i="10"/>
  <c r="XB5" i="10"/>
  <c r="WZ5" i="10"/>
  <c r="WE5" i="10"/>
  <c r="VU5" i="10"/>
  <c r="VS5" i="10"/>
  <c r="VQ5" i="10"/>
  <c r="VM5" i="10"/>
  <c r="VJ5" i="10"/>
  <c r="VH5" i="10"/>
  <c r="VF5" i="10"/>
  <c r="VD5" i="10"/>
  <c r="VB5" i="10"/>
  <c r="UZ5" i="10"/>
  <c r="UE5" i="10"/>
  <c r="QF5" i="10"/>
  <c r="QD5" i="10"/>
  <c r="QB5" i="10"/>
  <c r="PZ5" i="10"/>
  <c r="PS5" i="10"/>
  <c r="PQ5" i="10"/>
  <c r="PO5" i="10"/>
  <c r="PM5" i="10"/>
  <c r="PH5" i="10"/>
  <c r="PF5" i="10"/>
  <c r="PD5" i="10"/>
  <c r="PB5" i="10"/>
  <c r="OZ5" i="10"/>
  <c r="OS5" i="10"/>
  <c r="OQ5" i="10"/>
  <c r="OM5" i="10"/>
  <c r="OF5" i="10"/>
  <c r="OD5" i="10"/>
  <c r="NZ5" i="10"/>
  <c r="XM2" i="10"/>
  <c r="VM2" i="10"/>
  <c r="GG66" i="3"/>
  <c r="GE66" i="3"/>
  <c r="GI64" i="3"/>
  <c r="GG64" i="3"/>
  <c r="FI64" i="3"/>
  <c r="GI62" i="3"/>
  <c r="GG62" i="3"/>
  <c r="FM62" i="3"/>
  <c r="FK62" i="3"/>
  <c r="FI62" i="3"/>
  <c r="CW62" i="3"/>
  <c r="CU62" i="3"/>
  <c r="CS62" i="3"/>
  <c r="CO62" i="3"/>
  <c r="CM62" i="3"/>
  <c r="GU61" i="3"/>
  <c r="GS61" i="3"/>
  <c r="GM61" i="3"/>
  <c r="GI61" i="3"/>
  <c r="GG61" i="3"/>
  <c r="GA61" i="3"/>
  <c r="FY61" i="3"/>
  <c r="FM61" i="3"/>
  <c r="FK61" i="3"/>
  <c r="GK61" i="3"/>
  <c r="GC61" i="3"/>
  <c r="FS61" i="3"/>
  <c r="GU60" i="3"/>
  <c r="GS60" i="3"/>
  <c r="GM60" i="3"/>
  <c r="GI60" i="3"/>
  <c r="GG60" i="3"/>
  <c r="FM60" i="3"/>
  <c r="FK60" i="3"/>
  <c r="GQ60" i="3"/>
  <c r="GK60" i="3"/>
  <c r="GE60" i="3"/>
  <c r="GA60" i="3"/>
  <c r="FS60" i="3"/>
  <c r="FO60" i="3"/>
  <c r="GU59" i="3"/>
  <c r="GS59" i="3"/>
  <c r="GM59" i="3"/>
  <c r="GI59" i="3"/>
  <c r="GG59" i="3"/>
  <c r="FM59" i="3"/>
  <c r="FK59" i="3"/>
  <c r="GO59" i="3"/>
  <c r="GK59" i="3"/>
  <c r="GE59" i="3"/>
  <c r="GA59" i="3"/>
  <c r="FS59" i="3"/>
  <c r="GU58" i="3"/>
  <c r="GS58" i="3"/>
  <c r="GM58" i="3"/>
  <c r="GI58" i="3"/>
  <c r="GG58" i="3"/>
  <c r="FM58" i="3"/>
  <c r="FK58" i="3"/>
  <c r="GQ58" i="3"/>
  <c r="GK58" i="3"/>
  <c r="GE58" i="3"/>
  <c r="GA58" i="3"/>
  <c r="FS58" i="3"/>
  <c r="FO58" i="3"/>
  <c r="GU57" i="3"/>
  <c r="GS57" i="3"/>
  <c r="GM57" i="3"/>
  <c r="GI57" i="3"/>
  <c r="GG57" i="3"/>
  <c r="FM57" i="3"/>
  <c r="FK57" i="3"/>
  <c r="GO57" i="3"/>
  <c r="GK57" i="3"/>
  <c r="GE57" i="3"/>
  <c r="GA57" i="3"/>
  <c r="FQ57" i="3"/>
  <c r="GU56" i="3"/>
  <c r="GS56" i="3"/>
  <c r="GM56" i="3"/>
  <c r="GI56" i="3"/>
  <c r="GG56" i="3"/>
  <c r="FM56" i="3"/>
  <c r="FK56" i="3"/>
  <c r="GQ56" i="3"/>
  <c r="GK56" i="3"/>
  <c r="GE56" i="3"/>
  <c r="GA56" i="3"/>
  <c r="FS56" i="3"/>
  <c r="FO56" i="3"/>
  <c r="GU55" i="3"/>
  <c r="GS55" i="3"/>
  <c r="GM55" i="3"/>
  <c r="GI55" i="3"/>
  <c r="GG55" i="3"/>
  <c r="FM55" i="3"/>
  <c r="FK55" i="3"/>
  <c r="GK55" i="3"/>
  <c r="GE55" i="3"/>
  <c r="GA55" i="3"/>
  <c r="FS55" i="3"/>
  <c r="GU54" i="3"/>
  <c r="GS54" i="3"/>
  <c r="GM54" i="3"/>
  <c r="GI54" i="3"/>
  <c r="GG54" i="3"/>
  <c r="GE54" i="3"/>
  <c r="GC54" i="3"/>
  <c r="GA54" i="3"/>
  <c r="FY54" i="3"/>
  <c r="FW54" i="3"/>
  <c r="FU54" i="3"/>
  <c r="FS54" i="3"/>
  <c r="FQ54" i="3"/>
  <c r="FO54" i="3"/>
  <c r="FM54" i="3"/>
  <c r="FK54" i="3"/>
  <c r="GK54" i="3"/>
  <c r="GU53" i="3"/>
  <c r="GS53" i="3"/>
  <c r="GM53" i="3"/>
  <c r="GI53" i="3"/>
  <c r="GG53" i="3"/>
  <c r="FM53" i="3"/>
  <c r="FK53" i="3"/>
  <c r="GO53" i="3"/>
  <c r="GK53" i="3"/>
  <c r="GE53" i="3"/>
  <c r="GA53" i="3"/>
  <c r="FS53" i="3"/>
  <c r="GU52" i="3"/>
  <c r="GS52" i="3"/>
  <c r="GM52" i="3"/>
  <c r="GI52" i="3"/>
  <c r="GG52" i="3"/>
  <c r="FM52" i="3"/>
  <c r="FK52" i="3"/>
  <c r="GQ52" i="3"/>
  <c r="GK52" i="3"/>
  <c r="GA52" i="3"/>
  <c r="FS52" i="3"/>
  <c r="GU51" i="3"/>
  <c r="GS51" i="3"/>
  <c r="GM51" i="3"/>
  <c r="GI51" i="3"/>
  <c r="GG51" i="3"/>
  <c r="FM51" i="3"/>
  <c r="FK51" i="3"/>
  <c r="GO51" i="3"/>
  <c r="GK51" i="3"/>
  <c r="GE51" i="3"/>
  <c r="GA51" i="3"/>
  <c r="FS51" i="3"/>
  <c r="GU50" i="3"/>
  <c r="GS50" i="3"/>
  <c r="GM50" i="3"/>
  <c r="GI50" i="3"/>
  <c r="GG50" i="3"/>
  <c r="FM50" i="3"/>
  <c r="FK50" i="3"/>
  <c r="GQ50" i="3"/>
  <c r="GK50" i="3"/>
  <c r="GE50" i="3"/>
  <c r="GA50" i="3"/>
  <c r="FS50" i="3"/>
  <c r="FO50" i="3"/>
  <c r="GU49" i="3"/>
  <c r="GS49" i="3"/>
  <c r="GM49" i="3"/>
  <c r="GI49" i="3"/>
  <c r="GG49" i="3"/>
  <c r="FM49" i="3"/>
  <c r="FK49" i="3"/>
  <c r="GO49" i="3"/>
  <c r="GE49" i="3"/>
  <c r="GU45" i="3"/>
  <c r="GS45" i="3"/>
  <c r="GM45" i="3"/>
  <c r="GI45" i="3"/>
  <c r="GG45" i="3"/>
  <c r="FM45" i="3"/>
  <c r="FK45" i="3"/>
  <c r="FI45" i="3"/>
  <c r="GU44" i="3"/>
  <c r="GS44" i="3"/>
  <c r="GM44" i="3"/>
  <c r="GI44" i="3"/>
  <c r="GG44" i="3"/>
  <c r="GA44" i="3"/>
  <c r="FY44" i="3"/>
  <c r="FM44" i="3"/>
  <c r="FK44" i="3"/>
  <c r="GQ44" i="3"/>
  <c r="GK44" i="3"/>
  <c r="GE44" i="3"/>
  <c r="FS44" i="3"/>
  <c r="GU43" i="3"/>
  <c r="GS43" i="3"/>
  <c r="GM43" i="3"/>
  <c r="GI43" i="3"/>
  <c r="GG43" i="3"/>
  <c r="FM43" i="3"/>
  <c r="FK43" i="3"/>
  <c r="GO43" i="3"/>
  <c r="GK43" i="3"/>
  <c r="GE43" i="3"/>
  <c r="GA43" i="3"/>
  <c r="FS43" i="3"/>
  <c r="GU42" i="3"/>
  <c r="GS42" i="3"/>
  <c r="GM42" i="3"/>
  <c r="GI42" i="3"/>
  <c r="GG42" i="3"/>
  <c r="FM42" i="3"/>
  <c r="FK42" i="3"/>
  <c r="GQ42" i="3"/>
  <c r="GK42" i="3"/>
  <c r="GA42" i="3"/>
  <c r="FS42" i="3"/>
  <c r="FO42" i="3"/>
  <c r="GU41" i="3"/>
  <c r="GS41" i="3"/>
  <c r="GM41" i="3"/>
  <c r="GI41" i="3"/>
  <c r="GG41" i="3"/>
  <c r="FM41" i="3"/>
  <c r="FK41" i="3"/>
  <c r="GO41" i="3"/>
  <c r="GK41" i="3"/>
  <c r="GE41" i="3"/>
  <c r="GA41" i="3"/>
  <c r="FS41" i="3"/>
  <c r="GU40" i="3"/>
  <c r="GS40" i="3"/>
  <c r="GM40" i="3"/>
  <c r="GI40" i="3"/>
  <c r="GG40" i="3"/>
  <c r="FM40" i="3"/>
  <c r="FK40" i="3"/>
  <c r="GK40" i="3"/>
  <c r="GA40" i="3"/>
  <c r="GU39" i="3"/>
  <c r="GS39" i="3"/>
  <c r="GM39" i="3"/>
  <c r="GI39" i="3"/>
  <c r="GG39" i="3"/>
  <c r="FM39" i="3"/>
  <c r="FK39" i="3"/>
  <c r="GO39" i="3"/>
  <c r="GK39" i="3"/>
  <c r="GE39" i="3"/>
  <c r="GA39" i="3"/>
  <c r="FS39" i="3"/>
  <c r="GU38" i="3"/>
  <c r="GS38" i="3"/>
  <c r="GM38" i="3"/>
  <c r="GI38" i="3"/>
  <c r="GG38" i="3"/>
  <c r="FM38" i="3"/>
  <c r="FK38" i="3"/>
  <c r="GQ38" i="3"/>
  <c r="GK38" i="3"/>
  <c r="GE38" i="3"/>
  <c r="GA38" i="3"/>
  <c r="FS38" i="3"/>
  <c r="FO38" i="3"/>
  <c r="GU36" i="3"/>
  <c r="GS36" i="3"/>
  <c r="GM36" i="3"/>
  <c r="GI36" i="3"/>
  <c r="GG36" i="3"/>
  <c r="FM36" i="3"/>
  <c r="FK36" i="3"/>
  <c r="GO36" i="3"/>
  <c r="GK36" i="3"/>
  <c r="GE36" i="3"/>
  <c r="GA36" i="3"/>
  <c r="FS36" i="3"/>
  <c r="GU34" i="3"/>
  <c r="GS34" i="3"/>
  <c r="GM34" i="3"/>
  <c r="GI34" i="3"/>
  <c r="GG34" i="3"/>
  <c r="FM34" i="3"/>
  <c r="FK34" i="3"/>
  <c r="GQ34" i="3"/>
  <c r="GK34" i="3"/>
  <c r="GE34" i="3"/>
  <c r="GA34" i="3"/>
  <c r="FS34" i="3"/>
  <c r="FO34" i="3"/>
  <c r="GU33" i="3"/>
  <c r="GS33" i="3"/>
  <c r="GM33" i="3"/>
  <c r="GI33" i="3"/>
  <c r="GG33" i="3"/>
  <c r="FM33" i="3"/>
  <c r="FK33" i="3"/>
  <c r="GK33" i="3"/>
  <c r="GE33" i="3"/>
  <c r="GA33" i="3"/>
  <c r="FS33" i="3"/>
  <c r="GU32" i="3"/>
  <c r="GS32" i="3"/>
  <c r="GM32" i="3"/>
  <c r="GI32" i="3"/>
  <c r="GG32" i="3"/>
  <c r="FM32" i="3"/>
  <c r="FK32" i="3"/>
  <c r="GQ32" i="3"/>
  <c r="GK32" i="3"/>
  <c r="GE32" i="3"/>
  <c r="GA32" i="3"/>
  <c r="FS32" i="3"/>
  <c r="FO32" i="3"/>
  <c r="GU31" i="3"/>
  <c r="GS31" i="3"/>
  <c r="GM31" i="3"/>
  <c r="GI31" i="3"/>
  <c r="GG31" i="3"/>
  <c r="FM31" i="3"/>
  <c r="FK31" i="3"/>
  <c r="GK31" i="3"/>
  <c r="GE31" i="3"/>
  <c r="GA31" i="3"/>
  <c r="FS31" i="3"/>
  <c r="GU30" i="3"/>
  <c r="GS30" i="3"/>
  <c r="GM30" i="3"/>
  <c r="GI30" i="3"/>
  <c r="GG30" i="3"/>
  <c r="FM30" i="3"/>
  <c r="FK30" i="3"/>
  <c r="GK30" i="3"/>
  <c r="GE30" i="3"/>
  <c r="FO30" i="3"/>
  <c r="GU29" i="3"/>
  <c r="GS29" i="3"/>
  <c r="GM29" i="3"/>
  <c r="GI29" i="3"/>
  <c r="GG29" i="3"/>
  <c r="FM29" i="3"/>
  <c r="FK29" i="3"/>
  <c r="GO29" i="3"/>
  <c r="GK29" i="3"/>
  <c r="GU28" i="3"/>
  <c r="GS28" i="3"/>
  <c r="GM28" i="3"/>
  <c r="GI28" i="3"/>
  <c r="GG28" i="3"/>
  <c r="FM28" i="3"/>
  <c r="FK28" i="3"/>
  <c r="GQ28" i="3"/>
  <c r="GK28" i="3"/>
  <c r="GA28" i="3"/>
  <c r="FS28" i="3"/>
  <c r="FO28" i="3"/>
  <c r="GU27" i="3"/>
  <c r="GS27" i="3"/>
  <c r="GM27" i="3"/>
  <c r="GI27" i="3"/>
  <c r="GG27" i="3"/>
  <c r="FM27" i="3"/>
  <c r="FK27" i="3"/>
  <c r="GI23" i="3"/>
  <c r="GG23" i="3"/>
  <c r="FI23" i="3"/>
  <c r="GU22" i="3"/>
  <c r="GS22" i="3"/>
  <c r="GM22" i="3"/>
  <c r="GI22" i="3"/>
  <c r="GG22" i="3"/>
  <c r="FO22" i="3"/>
  <c r="FM22" i="3"/>
  <c r="FK22" i="3"/>
  <c r="GQ22" i="3"/>
  <c r="GK22" i="3"/>
  <c r="GE22" i="3"/>
  <c r="GA22" i="3"/>
  <c r="FS22" i="3"/>
  <c r="GU19" i="3"/>
  <c r="GS19" i="3"/>
  <c r="GM19" i="3"/>
  <c r="GI19" i="3"/>
  <c r="GG19" i="3"/>
  <c r="FM19" i="3"/>
  <c r="FK19" i="3"/>
  <c r="GQ19" i="3"/>
  <c r="GK19" i="3"/>
  <c r="GE19" i="3"/>
  <c r="GA19" i="3"/>
  <c r="FU19" i="3"/>
  <c r="FS19" i="3"/>
  <c r="GU18" i="3"/>
  <c r="GS18" i="3"/>
  <c r="GM18" i="3"/>
  <c r="GI18" i="3"/>
  <c r="GG18" i="3"/>
  <c r="FM18" i="3"/>
  <c r="FK18" i="3"/>
  <c r="GK18" i="3"/>
  <c r="GE18" i="3"/>
  <c r="GA18" i="3"/>
  <c r="FS18" i="3"/>
  <c r="GU17" i="3"/>
  <c r="GS17" i="3"/>
  <c r="GM17" i="3"/>
  <c r="GI17" i="3"/>
  <c r="GG17" i="3"/>
  <c r="FM17" i="3"/>
  <c r="FK17" i="3"/>
  <c r="GK17" i="3"/>
  <c r="GE17" i="3"/>
  <c r="GA17" i="3"/>
  <c r="FS17" i="3"/>
  <c r="GU16" i="3"/>
  <c r="GS16" i="3"/>
  <c r="GM16" i="3"/>
  <c r="GI16" i="3"/>
  <c r="GG16" i="3"/>
  <c r="FM16" i="3"/>
  <c r="FK16" i="3"/>
  <c r="GK16" i="3"/>
  <c r="GE16" i="3"/>
  <c r="GA16" i="3"/>
  <c r="FS16" i="3"/>
  <c r="GU15" i="3"/>
  <c r="GS15" i="3"/>
  <c r="GM15" i="3"/>
  <c r="GI15" i="3"/>
  <c r="GG15" i="3"/>
  <c r="FM15" i="3"/>
  <c r="FK15" i="3"/>
  <c r="GQ15" i="3"/>
  <c r="GK15" i="3"/>
  <c r="GE15" i="3"/>
  <c r="GA15" i="3"/>
  <c r="FS15" i="3"/>
  <c r="GU14" i="3"/>
  <c r="GS14" i="3"/>
  <c r="GM14" i="3"/>
  <c r="GI14" i="3"/>
  <c r="GG14" i="3"/>
  <c r="FM14" i="3"/>
  <c r="FK14" i="3"/>
  <c r="GO14" i="3"/>
  <c r="GK14" i="3"/>
  <c r="GE14" i="3"/>
  <c r="GA14" i="3"/>
  <c r="FS14" i="3"/>
  <c r="GU13" i="3"/>
  <c r="GS13" i="3"/>
  <c r="GM13" i="3"/>
  <c r="GI13" i="3"/>
  <c r="GG13" i="3"/>
  <c r="FM13" i="3"/>
  <c r="FK13" i="3"/>
  <c r="GQ13" i="3"/>
  <c r="GK13" i="3"/>
  <c r="GE13" i="3"/>
  <c r="GA13" i="3"/>
  <c r="FS13" i="3"/>
  <c r="FO13" i="3"/>
  <c r="GU12" i="3"/>
  <c r="GS12" i="3"/>
  <c r="GM12" i="3"/>
  <c r="GI12" i="3"/>
  <c r="GG12" i="3"/>
  <c r="FM12" i="3"/>
  <c r="FK12" i="3"/>
  <c r="GO12" i="3"/>
  <c r="GK12" i="3"/>
  <c r="GE12" i="3"/>
  <c r="GA12" i="3"/>
  <c r="FS12" i="3"/>
  <c r="GU11" i="3"/>
  <c r="GS11" i="3"/>
  <c r="GM11" i="3"/>
  <c r="GI11" i="3"/>
  <c r="GG11" i="3"/>
  <c r="FM11" i="3"/>
  <c r="FK11" i="3"/>
  <c r="GQ11" i="3"/>
  <c r="GK11" i="3"/>
  <c r="GE11" i="3"/>
  <c r="GA11" i="3"/>
  <c r="FS11" i="3"/>
  <c r="FO11" i="3"/>
  <c r="GU10" i="3"/>
  <c r="GS10" i="3"/>
  <c r="GM10" i="3"/>
  <c r="GI10" i="3"/>
  <c r="GG10" i="3"/>
  <c r="FM10" i="3"/>
  <c r="FK10" i="3"/>
  <c r="GK10" i="3"/>
  <c r="GE10" i="3"/>
  <c r="GA10" i="3"/>
  <c r="FU10" i="3"/>
  <c r="FS10" i="3"/>
  <c r="GU9" i="3"/>
  <c r="GS9" i="3"/>
  <c r="GM9" i="3"/>
  <c r="GI9" i="3"/>
  <c r="GG9" i="3"/>
  <c r="FM9" i="3"/>
  <c r="FK9" i="3"/>
  <c r="GK9" i="3"/>
  <c r="GE9" i="3"/>
  <c r="GA9" i="3"/>
  <c r="FS9" i="3"/>
  <c r="FO9" i="3"/>
  <c r="GU8" i="3"/>
  <c r="GS8" i="3"/>
  <c r="GM8" i="3"/>
  <c r="GI8" i="3"/>
  <c r="GG8" i="3"/>
  <c r="FM8" i="3"/>
  <c r="FK8" i="3"/>
  <c r="GK8" i="3"/>
  <c r="GE8" i="3"/>
  <c r="FS8" i="3"/>
  <c r="FO8" i="3"/>
  <c r="GU7" i="3"/>
  <c r="GS7" i="3"/>
  <c r="GM7" i="3"/>
  <c r="GI7" i="3"/>
  <c r="GG7" i="3"/>
  <c r="FM7" i="3"/>
  <c r="FK7" i="3"/>
  <c r="GK7" i="3"/>
  <c r="GE7" i="3"/>
  <c r="GA7" i="3"/>
  <c r="FS7" i="3"/>
  <c r="GI6" i="3"/>
  <c r="GG6" i="3"/>
  <c r="FM6" i="3"/>
  <c r="FK6" i="3"/>
  <c r="CW6" i="3"/>
  <c r="CW23" i="3" s="1"/>
  <c r="CU6" i="3"/>
  <c r="CS6" i="3"/>
  <c r="CO6" i="3"/>
  <c r="CO23" i="3" s="1"/>
  <c r="CM6" i="3"/>
  <c r="GU5" i="3"/>
  <c r="GS5" i="3"/>
  <c r="GM5" i="3"/>
  <c r="GI5" i="3"/>
  <c r="GG5" i="3"/>
  <c r="GA5" i="3"/>
  <c r="GU1" i="3"/>
  <c r="GS1" i="3"/>
  <c r="GQ1" i="3"/>
  <c r="GO1" i="3"/>
  <c r="GM1" i="3"/>
  <c r="GK1" i="3"/>
  <c r="GI1" i="3"/>
  <c r="GG1" i="3"/>
  <c r="GE1" i="3"/>
  <c r="GC1" i="3"/>
  <c r="GA1" i="3"/>
  <c r="FY1" i="3"/>
  <c r="FW1" i="3"/>
  <c r="FU1" i="3"/>
  <c r="FS1" i="3"/>
  <c r="FQ1" i="3"/>
  <c r="FO1" i="3"/>
  <c r="FM1" i="3"/>
  <c r="FK1" i="3"/>
  <c r="FI1" i="3"/>
  <c r="FG1" i="3"/>
  <c r="J61" i="7"/>
  <c r="F61" i="7"/>
  <c r="E61" i="7"/>
  <c r="D61" i="7"/>
  <c r="B61" i="7"/>
  <c r="J59" i="7"/>
  <c r="F59" i="7"/>
  <c r="D59" i="7"/>
  <c r="B59" i="7"/>
  <c r="J40" i="7"/>
  <c r="F40" i="7"/>
  <c r="E40" i="7"/>
  <c r="D40" i="7"/>
  <c r="B40" i="7"/>
  <c r="J38" i="7"/>
  <c r="F38" i="7"/>
  <c r="D38" i="7"/>
  <c r="B38" i="7"/>
  <c r="J20" i="7"/>
  <c r="F20" i="7"/>
  <c r="E20" i="7"/>
  <c r="D20" i="7"/>
  <c r="B20" i="7"/>
  <c r="J18" i="7"/>
  <c r="F18" i="7"/>
  <c r="D18" i="7"/>
  <c r="B18" i="7"/>
  <c r="I115" i="9"/>
  <c r="I91" i="9"/>
  <c r="G91" i="9"/>
  <c r="E91" i="9"/>
  <c r="C91" i="9"/>
  <c r="L86" i="9"/>
  <c r="I83" i="9"/>
  <c r="I78" i="9"/>
  <c r="L85" i="8"/>
  <c r="F85" i="8"/>
  <c r="E85" i="8"/>
  <c r="D85" i="8"/>
  <c r="B85" i="8"/>
  <c r="L83" i="8"/>
  <c r="F83" i="8"/>
  <c r="D83" i="8"/>
  <c r="B83" i="8"/>
  <c r="L42" i="8"/>
  <c r="F42" i="8"/>
  <c r="E42" i="8"/>
  <c r="D42" i="8"/>
  <c r="B42" i="8"/>
  <c r="L40" i="8"/>
  <c r="F40" i="8"/>
  <c r="D40" i="8"/>
  <c r="B40" i="8"/>
  <c r="FN69" i="2"/>
  <c r="FL69" i="2"/>
  <c r="FJ69" i="2"/>
  <c r="GJ69" i="2"/>
  <c r="GB69" i="2"/>
  <c r="FT69" i="2"/>
  <c r="FN68" i="2"/>
  <c r="FL68" i="2"/>
  <c r="FJ68" i="2"/>
  <c r="GR68" i="2"/>
  <c r="GJ68" i="2"/>
  <c r="GB68" i="2"/>
  <c r="FT68" i="2"/>
  <c r="FN67" i="2"/>
  <c r="FL67" i="2"/>
  <c r="FJ67" i="2"/>
  <c r="GR67" i="2"/>
  <c r="GJ67" i="2"/>
  <c r="GB67" i="2"/>
  <c r="FT67" i="2"/>
  <c r="FP67" i="2"/>
  <c r="FN66" i="2"/>
  <c r="FL66" i="2"/>
  <c r="FJ66" i="2"/>
  <c r="GJ66" i="2"/>
  <c r="GB66" i="2"/>
  <c r="FT66" i="2"/>
  <c r="GU47" i="4"/>
  <c r="GS47" i="4"/>
  <c r="GQ47" i="4"/>
  <c r="GC47" i="4"/>
  <c r="FY47" i="4"/>
  <c r="FW47" i="4"/>
  <c r="CW47" i="4"/>
  <c r="CS47" i="4"/>
  <c r="CO47" i="4"/>
  <c r="CK47" i="4"/>
  <c r="CE47" i="4"/>
  <c r="CC47" i="4"/>
  <c r="BY47" i="4"/>
  <c r="BW47" i="4"/>
  <c r="BU47" i="4"/>
  <c r="BQ47" i="4"/>
  <c r="GV55" i="2"/>
  <c r="GT55" i="2"/>
  <c r="GR55" i="2"/>
  <c r="GP55" i="2"/>
  <c r="GN55" i="2"/>
  <c r="GL55" i="2"/>
  <c r="GJ55" i="2"/>
  <c r="GH55" i="2"/>
  <c r="GF55" i="2"/>
  <c r="GD55" i="2"/>
  <c r="GB55" i="2"/>
  <c r="FZ55" i="2"/>
  <c r="FX55" i="2"/>
  <c r="FV55" i="2"/>
  <c r="FT55" i="2"/>
  <c r="FR55" i="2"/>
  <c r="FP55" i="2"/>
  <c r="FN55" i="2"/>
  <c r="FL55" i="2"/>
  <c r="FJ55" i="2"/>
  <c r="DB55" i="2"/>
  <c r="CZ55" i="2"/>
  <c r="CX55" i="2"/>
  <c r="CV55" i="2"/>
  <c r="CT55" i="2"/>
  <c r="CR55" i="2"/>
  <c r="CP55" i="2"/>
  <c r="CN55" i="2"/>
  <c r="CJ55" i="2"/>
  <c r="GV47" i="2"/>
  <c r="GR47" i="2"/>
  <c r="GP47" i="2"/>
  <c r="GN47" i="2"/>
  <c r="GJ47" i="2"/>
  <c r="GH47" i="2"/>
  <c r="GF47" i="2"/>
  <c r="GB47" i="2"/>
  <c r="FT47" i="2"/>
  <c r="FR47" i="2"/>
  <c r="FP47" i="2"/>
  <c r="FN47" i="2"/>
  <c r="FL47" i="2"/>
  <c r="FJ47" i="2"/>
  <c r="CX47" i="2"/>
  <c r="CV47" i="2"/>
  <c r="CR47" i="2"/>
  <c r="CP47" i="2"/>
  <c r="CN47" i="2"/>
  <c r="CJ47" i="2"/>
  <c r="CH47" i="2"/>
  <c r="CH57" i="2" s="1"/>
  <c r="CF47" i="2"/>
  <c r="CF57" i="2" s="1"/>
  <c r="CB47" i="2"/>
  <c r="CB57" i="2" s="1"/>
  <c r="BZ47" i="2"/>
  <c r="BZ57" i="2" s="1"/>
  <c r="BX47" i="2"/>
  <c r="BX57" i="2" s="1"/>
  <c r="BT47" i="2"/>
  <c r="BT57" i="2" s="1"/>
  <c r="FZ46" i="2"/>
  <c r="FX46" i="2"/>
  <c r="GT46" i="2"/>
  <c r="GL46" i="2"/>
  <c r="GD46" i="2"/>
  <c r="FV46" i="2"/>
  <c r="GT45" i="2"/>
  <c r="GL45" i="2"/>
  <c r="GT44" i="2"/>
  <c r="GL44" i="2"/>
  <c r="GT43" i="2"/>
  <c r="GL43" i="2"/>
  <c r="GT42" i="2"/>
  <c r="GL42" i="2"/>
  <c r="FZ41" i="2"/>
  <c r="FX41" i="2"/>
  <c r="GD41" i="2"/>
  <c r="FV41" i="2"/>
  <c r="GT40" i="2"/>
  <c r="GB36" i="2"/>
  <c r="FZ36" i="2"/>
  <c r="FT36" i="2"/>
  <c r="FR36" i="2"/>
  <c r="FP36" i="2"/>
  <c r="FN36" i="2"/>
  <c r="FL36" i="2"/>
  <c r="FJ36" i="2"/>
  <c r="FH36" i="2"/>
  <c r="GR36" i="2"/>
  <c r="GJ36" i="2"/>
  <c r="FX36" i="2"/>
  <c r="FN31" i="2"/>
  <c r="FL31" i="2"/>
  <c r="FJ31" i="2"/>
  <c r="GR31" i="2"/>
  <c r="GJ31" i="2"/>
  <c r="GB31" i="2"/>
  <c r="FT31" i="2"/>
  <c r="FP31" i="2"/>
  <c r="GB27" i="2"/>
  <c r="FZ27" i="2"/>
  <c r="FN27" i="2"/>
  <c r="FL27" i="2"/>
  <c r="FJ27" i="2"/>
  <c r="GR27" i="2"/>
  <c r="GJ27" i="2"/>
  <c r="FV27" i="2"/>
  <c r="FT27" i="2"/>
  <c r="FP27" i="2"/>
  <c r="FN26" i="2"/>
  <c r="FL26" i="2"/>
  <c r="FJ26" i="2"/>
  <c r="GJ26" i="2"/>
  <c r="GB26" i="2"/>
  <c r="FT26" i="2"/>
  <c r="FP26" i="2"/>
  <c r="FN25" i="2"/>
  <c r="FL25" i="2"/>
  <c r="FJ25" i="2"/>
  <c r="GR25" i="2"/>
  <c r="GJ25" i="2"/>
  <c r="GB25" i="2"/>
  <c r="FT25" i="2"/>
  <c r="FP25" i="2"/>
  <c r="FN24" i="2"/>
  <c r="FL24" i="2"/>
  <c r="FJ24" i="2"/>
  <c r="GR24" i="2"/>
  <c r="GJ24" i="2"/>
  <c r="GB24" i="2"/>
  <c r="FT24" i="2"/>
  <c r="FP24" i="2"/>
  <c r="FN18" i="2"/>
  <c r="FL18" i="2"/>
  <c r="FJ18" i="2"/>
  <c r="DB67" i="2"/>
  <c r="CZ67" i="2"/>
  <c r="GR18" i="2"/>
  <c r="GJ18" i="2"/>
  <c r="GB18" i="2"/>
  <c r="FT18" i="2"/>
  <c r="FP18" i="2"/>
  <c r="FN17" i="2"/>
  <c r="FN72" i="2" s="1"/>
  <c r="FL17" i="2"/>
  <c r="FL72" i="2" s="1"/>
  <c r="FJ17" i="2"/>
  <c r="FJ72" i="2" s="1"/>
  <c r="DB72" i="2"/>
  <c r="CZ72" i="2"/>
  <c r="CX72" i="2"/>
  <c r="CT72" i="2"/>
  <c r="CR72" i="2"/>
  <c r="CL72" i="2"/>
  <c r="GJ17" i="2"/>
  <c r="GJ72" i="2" s="1"/>
  <c r="CB72" i="2"/>
  <c r="BT72" i="2"/>
  <c r="FP17" i="2"/>
  <c r="FP72" i="2" s="1"/>
  <c r="FN15" i="2"/>
  <c r="FL15" i="2"/>
  <c r="FJ15" i="2"/>
  <c r="GR15" i="2"/>
  <c r="GB15" i="2"/>
  <c r="FT15" i="2"/>
  <c r="FP15" i="2"/>
  <c r="FN14" i="2"/>
  <c r="FL14" i="2"/>
  <c r="FJ14" i="2"/>
  <c r="GR14" i="2"/>
  <c r="GJ14" i="2"/>
  <c r="GB14" i="2"/>
  <c r="FT14" i="2"/>
  <c r="FP14" i="2"/>
  <c r="FN13" i="2"/>
  <c r="FL13" i="2"/>
  <c r="FJ13" i="2"/>
  <c r="GR13" i="2"/>
  <c r="GJ13" i="2"/>
  <c r="GB13" i="2"/>
  <c r="FT13" i="2"/>
  <c r="FP13" i="2"/>
  <c r="FN12" i="2"/>
  <c r="FL12" i="2"/>
  <c r="FJ12" i="2"/>
  <c r="GR12" i="2"/>
  <c r="GJ12" i="2"/>
  <c r="GB12" i="2"/>
  <c r="FT12" i="2"/>
  <c r="FP12" i="2"/>
  <c r="FN11" i="2"/>
  <c r="FL11" i="2"/>
  <c r="FJ11" i="2"/>
  <c r="GR11" i="2"/>
  <c r="GJ11" i="2"/>
  <c r="FP11" i="2"/>
  <c r="GJ10" i="2"/>
  <c r="GH10" i="2"/>
  <c r="GF10" i="2"/>
  <c r="GD10" i="2"/>
  <c r="GB10" i="2"/>
  <c r="FZ10" i="2"/>
  <c r="FX10" i="2"/>
  <c r="FV10" i="2"/>
  <c r="FT10" i="2"/>
  <c r="FR10" i="2"/>
  <c r="FP10" i="2"/>
  <c r="FN10" i="2"/>
  <c r="FL10" i="2"/>
  <c r="FJ10" i="2"/>
  <c r="FH10" i="2"/>
  <c r="GR10" i="2"/>
  <c r="GL10" i="2"/>
  <c r="GJ9" i="2"/>
  <c r="GH9" i="2"/>
  <c r="GF9" i="2"/>
  <c r="GD9" i="2"/>
  <c r="GB9" i="2"/>
  <c r="FZ9" i="2"/>
  <c r="FX9" i="2"/>
  <c r="FV9" i="2"/>
  <c r="FT9" i="2"/>
  <c r="FR9" i="2"/>
  <c r="FP9" i="2"/>
  <c r="FN9" i="2"/>
  <c r="FL9" i="2"/>
  <c r="FJ9" i="2"/>
  <c r="FH9" i="2"/>
  <c r="GR9" i="2"/>
  <c r="GL9" i="2"/>
  <c r="FN5" i="2"/>
  <c r="FL5" i="2"/>
  <c r="FJ5" i="2"/>
  <c r="FH5" i="2"/>
  <c r="GR5" i="2"/>
  <c r="GJ5" i="2"/>
  <c r="GB5" i="2"/>
  <c r="FT5" i="2"/>
  <c r="FN4" i="2"/>
  <c r="FJ4" i="2"/>
  <c r="FH4" i="2"/>
  <c r="GJ4" i="2"/>
  <c r="FP4" i="2"/>
  <c r="GH1" i="2"/>
  <c r="GF1" i="2"/>
  <c r="GD1" i="2"/>
  <c r="FZ1" i="2"/>
  <c r="FX1" i="2"/>
  <c r="FV1" i="2"/>
  <c r="FT1" i="2"/>
  <c r="FR1" i="2"/>
  <c r="FP1" i="2"/>
  <c r="FN1" i="2"/>
  <c r="FL1" i="2"/>
  <c r="FJ1" i="2"/>
  <c r="FH1" i="2"/>
  <c r="BT94" i="1"/>
  <c r="BR94" i="1" s="1"/>
  <c r="BP94" i="1" s="1"/>
  <c r="CT86" i="1"/>
  <c r="CX75" i="1"/>
  <c r="CX86" i="1" s="1"/>
  <c r="CV75" i="1"/>
  <c r="CV86" i="1" s="1"/>
  <c r="CR75" i="1"/>
  <c r="CR86" i="1" s="1"/>
  <c r="CP75" i="1"/>
  <c r="CP86" i="1" s="1"/>
  <c r="CN75" i="1"/>
  <c r="CN86" i="1" s="1"/>
  <c r="BL75" i="1"/>
  <c r="BL86" i="1" s="1"/>
  <c r="CT70" i="1"/>
  <c r="CX61" i="1"/>
  <c r="CX70" i="1" s="1"/>
  <c r="CV61" i="1"/>
  <c r="CV70" i="1" s="1"/>
  <c r="CR61" i="1"/>
  <c r="CR70" i="1" s="1"/>
  <c r="CP61" i="1"/>
  <c r="CP70" i="1" s="1"/>
  <c r="CN61" i="1"/>
  <c r="CN70" i="1" s="1"/>
  <c r="BL61" i="1"/>
  <c r="BL70" i="1" s="1"/>
  <c r="CX52" i="1"/>
  <c r="CX56" i="1" s="1"/>
  <c r="CV52" i="1"/>
  <c r="CV56" i="1" s="1"/>
  <c r="CT52" i="1"/>
  <c r="CT56" i="1" s="1"/>
  <c r="CR52" i="1"/>
  <c r="CR56" i="1" s="1"/>
  <c r="CP52" i="1"/>
  <c r="CP56" i="1" s="1"/>
  <c r="CN52" i="1"/>
  <c r="CN56" i="1" s="1"/>
  <c r="CT39" i="1"/>
  <c r="CX26" i="1"/>
  <c r="CX39" i="1" s="1"/>
  <c r="CV26" i="1"/>
  <c r="CV39" i="1" s="1"/>
  <c r="CR26" i="1"/>
  <c r="CR39" i="1" s="1"/>
  <c r="CP26" i="1"/>
  <c r="CP39" i="1" s="1"/>
  <c r="CN26" i="1"/>
  <c r="CN39" i="1" s="1"/>
  <c r="BL26" i="1"/>
  <c r="BL39" i="1" s="1"/>
  <c r="CV21" i="1"/>
  <c r="CT21" i="1"/>
  <c r="CP21" i="1"/>
  <c r="CN21" i="1"/>
  <c r="CX12" i="1"/>
  <c r="CX21" i="1" s="1"/>
  <c r="CR12" i="1"/>
  <c r="CR21" i="1" s="1"/>
  <c r="BL12" i="1"/>
  <c r="BL21" i="1" s="1"/>
  <c r="PQ19" i="10" l="1"/>
  <c r="PQ22" i="10" s="1"/>
  <c r="DA6" i="3"/>
  <c r="DA23" i="3" s="1"/>
  <c r="VU19" i="10"/>
  <c r="VU22" i="10" s="1"/>
  <c r="VR45" i="10"/>
  <c r="VR48" i="10" s="1"/>
  <c r="GJ57" i="2"/>
  <c r="GF57" i="2"/>
  <c r="GP57" i="2"/>
  <c r="D10" i="9"/>
  <c r="SB39" i="10"/>
  <c r="VE45" i="10"/>
  <c r="VE48" i="10" s="1"/>
  <c r="CP57" i="2"/>
  <c r="CP88" i="1"/>
  <c r="CP90" i="1" s="1"/>
  <c r="FL57" i="2"/>
  <c r="CO64" i="3"/>
  <c r="CO68" i="3" s="1"/>
  <c r="FZ47" i="2"/>
  <c r="FZ57" i="2" s="1"/>
  <c r="F5" i="9"/>
  <c r="F53" i="9"/>
  <c r="CP41" i="1"/>
  <c r="GB57" i="2"/>
  <c r="J37" i="9"/>
  <c r="GL5" i="2"/>
  <c r="D53" i="9"/>
  <c r="B102" i="9"/>
  <c r="YF5" i="10"/>
  <c r="UB10" i="10"/>
  <c r="VS19" i="10"/>
  <c r="VS22" i="10" s="1"/>
  <c r="XQ19" i="10"/>
  <c r="XQ22" i="10" s="1"/>
  <c r="YD10" i="10"/>
  <c r="WE19" i="10"/>
  <c r="WE22" i="10" s="1"/>
  <c r="PD19" i="10"/>
  <c r="PD22" i="10" s="1"/>
  <c r="UE45" i="10"/>
  <c r="UE48" i="10" s="1"/>
  <c r="YJ12" i="10"/>
  <c r="XS19" i="10"/>
  <c r="XS22" i="10" s="1"/>
  <c r="WR45" i="10"/>
  <c r="WR48" i="10" s="1"/>
  <c r="WH10" i="10"/>
  <c r="TE45" i="10"/>
  <c r="TE48" i="10" s="1"/>
  <c r="XU19" i="10"/>
  <c r="XU22" i="10" s="1"/>
  <c r="XQ31" i="10"/>
  <c r="XQ36" i="10"/>
  <c r="XW43" i="10"/>
  <c r="OD19" i="10"/>
  <c r="OD22" i="10" s="1"/>
  <c r="WB31" i="10"/>
  <c r="PD31" i="10"/>
  <c r="UE19" i="10"/>
  <c r="UE22" i="10" s="1"/>
  <c r="VQ19" i="10"/>
  <c r="VQ22" i="10" s="1"/>
  <c r="YB5" i="10"/>
  <c r="YB19" i="10" s="1"/>
  <c r="YB22" i="10" s="1"/>
  <c r="XU31" i="10"/>
  <c r="NZ19" i="10"/>
  <c r="TS39" i="10"/>
  <c r="CW64" i="3"/>
  <c r="CW68" i="3" s="1"/>
  <c r="GU62" i="3"/>
  <c r="FP57" i="2"/>
  <c r="FT57" i="2"/>
  <c r="GV57" i="2"/>
  <c r="CV57" i="2"/>
  <c r="CN7" i="2"/>
  <c r="GU27" i="13"/>
  <c r="GU29" i="13"/>
  <c r="GS32" i="13"/>
  <c r="GU37" i="13"/>
  <c r="GG25" i="4"/>
  <c r="GO7" i="4"/>
  <c r="GO16" i="4" s="1"/>
  <c r="GO23" i="4" s="1"/>
  <c r="GG12" i="4"/>
  <c r="GV36" i="2"/>
  <c r="CR7" i="2"/>
  <c r="CR73" i="2" s="1"/>
  <c r="GP15" i="2"/>
  <c r="GN67" i="2"/>
  <c r="GP13" i="2"/>
  <c r="GT15" i="2"/>
  <c r="GV17" i="2"/>
  <c r="GV72" i="2" s="1"/>
  <c r="GP25" i="2"/>
  <c r="GN31" i="2"/>
  <c r="GL66" i="2"/>
  <c r="GV68" i="2"/>
  <c r="GU11" i="13"/>
  <c r="GS55" i="13"/>
  <c r="GS14" i="13"/>
  <c r="GS18" i="13"/>
  <c r="GS40" i="13"/>
  <c r="PB19" i="10"/>
  <c r="PB22" i="10" s="1"/>
  <c r="FH7" i="2"/>
  <c r="D5" i="9"/>
  <c r="D17" i="9" s="1"/>
  <c r="D20" i="9" s="1"/>
  <c r="B33" i="9"/>
  <c r="SE45" i="10"/>
  <c r="SE48" i="10" s="1"/>
  <c r="CN41" i="1"/>
  <c r="D78" i="9"/>
  <c r="F83" i="9"/>
  <c r="WS43" i="10"/>
  <c r="FW43" i="4"/>
  <c r="GM43" i="4"/>
  <c r="GS51" i="13"/>
  <c r="F10" i="9"/>
  <c r="WJ6" i="10"/>
  <c r="XF31" i="10"/>
  <c r="VW10" i="10"/>
  <c r="GS37" i="13"/>
  <c r="F28" i="9"/>
  <c r="CP7" i="2"/>
  <c r="FJ57" i="2"/>
  <c r="H78" i="9"/>
  <c r="GM6" i="3"/>
  <c r="GG68" i="3"/>
  <c r="GG70" i="3" s="1"/>
  <c r="XS36" i="10"/>
  <c r="TU39" i="10"/>
  <c r="XR45" i="10"/>
  <c r="XR48" i="10" s="1"/>
  <c r="CJ57" i="2"/>
  <c r="CR41" i="1"/>
  <c r="CN88" i="1"/>
  <c r="CN90" i="1" s="1"/>
  <c r="CN92" i="1" s="1"/>
  <c r="GV10" i="2"/>
  <c r="GV11" i="2"/>
  <c r="GV12" i="2"/>
  <c r="GV13" i="2"/>
  <c r="GH14" i="2"/>
  <c r="GN18" i="2"/>
  <c r="CN57" i="2"/>
  <c r="GN57" i="2"/>
  <c r="GN66" i="2"/>
  <c r="GT67" i="2"/>
  <c r="GN69" i="2"/>
  <c r="J11" i="9"/>
  <c r="D28" i="9"/>
  <c r="J63" i="9"/>
  <c r="D102" i="9"/>
  <c r="H107" i="9"/>
  <c r="GS6" i="3"/>
  <c r="VB31" i="10"/>
  <c r="XF36" i="10"/>
  <c r="UR45" i="10"/>
  <c r="UR48" i="10" s="1"/>
  <c r="OD31" i="10"/>
  <c r="GQ7" i="4"/>
  <c r="GE43" i="4"/>
  <c r="GS7" i="4"/>
  <c r="GU9" i="13"/>
  <c r="CJ70" i="1"/>
  <c r="CR88" i="1"/>
  <c r="CR90" i="1" s="1"/>
  <c r="CR57" i="2"/>
  <c r="GR57" i="2"/>
  <c r="H28" i="9"/>
  <c r="TQ37" i="10"/>
  <c r="YJ17" i="10"/>
  <c r="VO36" i="10"/>
  <c r="PD36" i="10"/>
  <c r="GU7" i="4"/>
  <c r="GU16" i="4" s="1"/>
  <c r="GU23" i="4" s="1"/>
  <c r="WH46" i="10"/>
  <c r="FN57" i="2"/>
  <c r="B10" i="9"/>
  <c r="J36" i="9"/>
  <c r="J38" i="9"/>
  <c r="H58" i="9"/>
  <c r="F102" i="9"/>
  <c r="GU6" i="3"/>
  <c r="GM62" i="3"/>
  <c r="VM19" i="10"/>
  <c r="VM22" i="10" s="1"/>
  <c r="XO31" i="10"/>
  <c r="YH10" i="10"/>
  <c r="GG5" i="4"/>
  <c r="GU43" i="4"/>
  <c r="CT41" i="1"/>
  <c r="CJ52" i="1"/>
  <c r="CJ56" i="1" s="1"/>
  <c r="CJ95" i="1" s="1"/>
  <c r="CX88" i="1"/>
  <c r="CX90" i="1" s="1"/>
  <c r="CT88" i="1"/>
  <c r="CT90" i="1" s="1"/>
  <c r="GT24" i="2"/>
  <c r="J13" i="9"/>
  <c r="J15" i="9"/>
  <c r="F33" i="9"/>
  <c r="J54" i="9"/>
  <c r="H102" i="9"/>
  <c r="WJ33" i="10"/>
  <c r="CV41" i="1"/>
  <c r="CJ86" i="1"/>
  <c r="CX20" i="2"/>
  <c r="GN15" i="2"/>
  <c r="GN26" i="2"/>
  <c r="FR57" i="2"/>
  <c r="GL68" i="2"/>
  <c r="J7" i="9"/>
  <c r="J29" i="9"/>
  <c r="J31" i="9"/>
  <c r="H33" i="9"/>
  <c r="J62" i="9"/>
  <c r="J66" i="9"/>
  <c r="J102" i="9"/>
  <c r="GS62" i="3"/>
  <c r="GG43" i="4"/>
  <c r="GS30" i="13"/>
  <c r="CJ39" i="1"/>
  <c r="J6" i="9"/>
  <c r="F58" i="9"/>
  <c r="J83" i="9"/>
  <c r="XW39" i="10"/>
  <c r="WE45" i="10"/>
  <c r="WE48" i="10" s="1"/>
  <c r="GK7" i="4"/>
  <c r="FS43" i="4"/>
  <c r="GI43" i="4"/>
  <c r="GQ43" i="4"/>
  <c r="GP14" i="2"/>
  <c r="CX57" i="2"/>
  <c r="GV66" i="2"/>
  <c r="J8" i="9"/>
  <c r="H10" i="9"/>
  <c r="H17" i="9" s="1"/>
  <c r="H20" i="9" s="1"/>
  <c r="J35" i="9"/>
  <c r="J41" i="9"/>
  <c r="H53" i="9"/>
  <c r="H65" i="9" s="1"/>
  <c r="H68" i="9" s="1"/>
  <c r="J60" i="9"/>
  <c r="J78" i="9"/>
  <c r="XO19" i="10"/>
  <c r="XO22" i="10" s="1"/>
  <c r="YJ14" i="10"/>
  <c r="SR45" i="10"/>
  <c r="SR48" i="10" s="1"/>
  <c r="GI7" i="4"/>
  <c r="GI16" i="4" s="1"/>
  <c r="GI23" i="4" s="1"/>
  <c r="GM7" i="4"/>
  <c r="GM16" i="4" s="1"/>
  <c r="GM23" i="4" s="1"/>
  <c r="GS21" i="13"/>
  <c r="GS26" i="13"/>
  <c r="GU40" i="13"/>
  <c r="J12" i="9"/>
  <c r="J14" i="9"/>
  <c r="J55" i="9"/>
  <c r="J59" i="9"/>
  <c r="D83" i="9"/>
  <c r="YJ11" i="10"/>
  <c r="XE45" i="10"/>
  <c r="XE48" i="10" s="1"/>
  <c r="FG43" i="4"/>
  <c r="CJ21" i="1"/>
  <c r="GT4" i="2"/>
  <c r="GT10" i="2"/>
  <c r="GN24" i="2"/>
  <c r="GP31" i="2"/>
  <c r="GP36" i="2"/>
  <c r="FX47" i="2"/>
  <c r="FX57" i="2" s="1"/>
  <c r="GH57" i="2"/>
  <c r="GT68" i="2"/>
  <c r="J18" i="9"/>
  <c r="J30" i="9"/>
  <c r="J61" i="9"/>
  <c r="L88" i="9"/>
  <c r="D107" i="9"/>
  <c r="J107" i="9"/>
  <c r="XW10" i="10"/>
  <c r="YF10" i="10"/>
  <c r="TO37" i="10"/>
  <c r="TR45" i="10"/>
  <c r="TR48" i="10" s="1"/>
  <c r="XW33" i="10"/>
  <c r="WB36" i="10"/>
  <c r="CK27" i="4"/>
  <c r="CK32" i="4" s="1"/>
  <c r="CK45" i="4" s="1"/>
  <c r="FI43" i="4"/>
  <c r="FY43" i="4"/>
  <c r="GO43" i="4"/>
  <c r="OQ36" i="10"/>
  <c r="OQ19" i="10"/>
  <c r="OQ22" i="10" s="1"/>
  <c r="OQ31" i="10"/>
  <c r="FH20" i="2"/>
  <c r="FJ7" i="2"/>
  <c r="FG7" i="4"/>
  <c r="BL41" i="1"/>
  <c r="BL88" i="1"/>
  <c r="BL90" i="1" s="1"/>
  <c r="CT95" i="1"/>
  <c r="CV88" i="1"/>
  <c r="CV90" i="1" s="1"/>
  <c r="CX95" i="1"/>
  <c r="CX41" i="1"/>
  <c r="VZ37" i="10"/>
  <c r="VM37" i="10"/>
  <c r="CN95" i="1"/>
  <c r="GR4" i="2"/>
  <c r="GR7" i="2" s="1"/>
  <c r="GV14" i="2"/>
  <c r="D33" i="9"/>
  <c r="J34" i="9"/>
  <c r="J56" i="9"/>
  <c r="L80" i="9"/>
  <c r="L85" i="9"/>
  <c r="CM23" i="3"/>
  <c r="VZ5" i="10"/>
  <c r="XW32" i="10"/>
  <c r="XM31" i="10"/>
  <c r="VS34" i="10"/>
  <c r="WF34" i="10"/>
  <c r="WF31" i="10" s="1"/>
  <c r="UM37" i="10"/>
  <c r="UZ37" i="10"/>
  <c r="VQ37" i="10"/>
  <c r="VQ36" i="10" s="1"/>
  <c r="WD37" i="10"/>
  <c r="WD36" i="10" s="1"/>
  <c r="XH37" i="10"/>
  <c r="WU37" i="10"/>
  <c r="XB38" i="10"/>
  <c r="WO38" i="10"/>
  <c r="UO39" i="10"/>
  <c r="VB39" i="10"/>
  <c r="US40" i="10"/>
  <c r="VF40" i="10"/>
  <c r="XH40" i="10"/>
  <c r="XJ40" i="10" s="1"/>
  <c r="WU40" i="10"/>
  <c r="VF43" i="10"/>
  <c r="US43" i="10"/>
  <c r="UW43" i="10" s="1"/>
  <c r="VM46" i="10"/>
  <c r="VZ46" i="10"/>
  <c r="WQ46" i="10"/>
  <c r="XD46" i="10"/>
  <c r="WS40" i="10"/>
  <c r="CO27" i="4"/>
  <c r="CO32" i="4" s="1"/>
  <c r="CO48" i="4" s="1"/>
  <c r="CO49" i="4" s="1"/>
  <c r="UM39" i="10"/>
  <c r="UZ39" i="10"/>
  <c r="CP95" i="1"/>
  <c r="GV4" i="2"/>
  <c r="GP68" i="2"/>
  <c r="GV69" i="2"/>
  <c r="B58" i="9"/>
  <c r="L105" i="9"/>
  <c r="L110" i="9"/>
  <c r="WB5" i="10"/>
  <c r="WB19" i="10" s="1"/>
  <c r="WB22" i="10" s="1"/>
  <c r="YH5" i="10"/>
  <c r="UM32" i="10"/>
  <c r="UZ32" i="10"/>
  <c r="VQ32" i="10"/>
  <c r="VQ31" i="10" s="1"/>
  <c r="WD32" i="10"/>
  <c r="WD31" i="10" s="1"/>
  <c r="WH8" i="10"/>
  <c r="WJ8" i="10" s="1"/>
  <c r="UO37" i="10"/>
  <c r="VB37" i="10"/>
  <c r="VS37" i="10"/>
  <c r="WF37" i="10"/>
  <c r="VB38" i="10"/>
  <c r="VJ38" i="10" s="1"/>
  <c r="UO38" i="10"/>
  <c r="WU38" i="10"/>
  <c r="XH38" i="10"/>
  <c r="XJ38" i="10" s="1"/>
  <c r="UU40" i="10"/>
  <c r="VH40" i="10"/>
  <c r="VO46" i="10"/>
  <c r="WB46" i="10"/>
  <c r="WU46" i="10"/>
  <c r="XH46" i="10"/>
  <c r="UZ33" i="10"/>
  <c r="UM38" i="10"/>
  <c r="CQ27" i="4"/>
  <c r="CQ32" i="4" s="1"/>
  <c r="CW27" i="4"/>
  <c r="CW32" i="4" s="1"/>
  <c r="XH43" i="10"/>
  <c r="XJ43" i="10" s="1"/>
  <c r="WU43" i="10"/>
  <c r="CR95" i="1"/>
  <c r="GH69" i="2"/>
  <c r="B5" i="9"/>
  <c r="D58" i="9"/>
  <c r="CS23" i="3"/>
  <c r="WD5" i="10"/>
  <c r="WD19" i="10" s="1"/>
  <c r="WD22" i="10" s="1"/>
  <c r="UQ33" i="10"/>
  <c r="UW33" i="10" s="1"/>
  <c r="VD33" i="10"/>
  <c r="TM34" i="10"/>
  <c r="UD5" i="10"/>
  <c r="WF10" i="10"/>
  <c r="XZ10" i="10"/>
  <c r="UQ37" i="10"/>
  <c r="UQ36" i="10" s="1"/>
  <c r="VD37" i="10"/>
  <c r="VD36" i="10" s="1"/>
  <c r="VU37" i="10"/>
  <c r="WH37" i="10"/>
  <c r="TU38" i="10"/>
  <c r="YJ13" i="10"/>
  <c r="OM19" i="10"/>
  <c r="OM22" i="10" s="1"/>
  <c r="UO46" i="10"/>
  <c r="VB46" i="10"/>
  <c r="US37" i="10"/>
  <c r="WZ46" i="10"/>
  <c r="CS27" i="4"/>
  <c r="CS32" i="4" s="1"/>
  <c r="CS48" i="4" s="1"/>
  <c r="CS49" i="4" s="1"/>
  <c r="GK43" i="4"/>
  <c r="VZ32" i="10"/>
  <c r="VM32" i="10"/>
  <c r="VM31" i="10" s="1"/>
  <c r="GN5" i="2"/>
  <c r="GT25" i="2"/>
  <c r="B28" i="9"/>
  <c r="L79" i="9"/>
  <c r="H83" i="9"/>
  <c r="L109" i="9"/>
  <c r="L112" i="9"/>
  <c r="CU23" i="3"/>
  <c r="XW5" i="10"/>
  <c r="VD32" i="10"/>
  <c r="UQ32" i="10"/>
  <c r="WM32" i="10"/>
  <c r="WZ32" i="10"/>
  <c r="TU33" i="10"/>
  <c r="WJ11" i="10"/>
  <c r="XW37" i="10"/>
  <c r="XM36" i="10"/>
  <c r="VZ39" i="10"/>
  <c r="WJ39" i="10" s="1"/>
  <c r="VM39" i="10"/>
  <c r="VW39" i="10" s="1"/>
  <c r="TU46" i="10"/>
  <c r="UQ46" i="10"/>
  <c r="VD46" i="10"/>
  <c r="VU38" i="10"/>
  <c r="XO36" i="10"/>
  <c r="XO45" i="10" s="1"/>
  <c r="XO48" i="10" s="1"/>
  <c r="XW40" i="10"/>
  <c r="CU27" i="4"/>
  <c r="CU32" i="4" s="1"/>
  <c r="WM38" i="10"/>
  <c r="CM27" i="4"/>
  <c r="CM32" i="4" s="1"/>
  <c r="CV95" i="1"/>
  <c r="GP12" i="2"/>
  <c r="GV24" i="2"/>
  <c r="GT27" i="2"/>
  <c r="GT31" i="2"/>
  <c r="B53" i="9"/>
  <c r="L84" i="9"/>
  <c r="L104" i="9"/>
  <c r="UB5" i="10"/>
  <c r="WF5" i="10"/>
  <c r="XZ5" i="10"/>
  <c r="UJ6" i="10"/>
  <c r="WO32" i="10"/>
  <c r="WO31" i="10" s="1"/>
  <c r="XB32" i="10"/>
  <c r="XB31" i="10" s="1"/>
  <c r="UJ7" i="10"/>
  <c r="XH34" i="10"/>
  <c r="XH31" i="10" s="1"/>
  <c r="WU34" i="10"/>
  <c r="WU31" i="10" s="1"/>
  <c r="VH37" i="10"/>
  <c r="UU37" i="10"/>
  <c r="WM37" i="10"/>
  <c r="WZ37" i="10"/>
  <c r="VM38" i="10"/>
  <c r="VZ38" i="10"/>
  <c r="WJ38" i="10" s="1"/>
  <c r="XW38" i="10"/>
  <c r="WJ13" i="10"/>
  <c r="VS40" i="10"/>
  <c r="WF40" i="10"/>
  <c r="WF43" i="10"/>
  <c r="WJ43" i="10" s="1"/>
  <c r="VS43" i="10"/>
  <c r="VW43" i="10" s="1"/>
  <c r="UJ20" i="10"/>
  <c r="US46" i="10"/>
  <c r="VF46" i="10"/>
  <c r="WF46" i="10"/>
  <c r="VS46" i="10"/>
  <c r="XW46" i="10"/>
  <c r="UO32" i="10"/>
  <c r="UO31" i="10" s="1"/>
  <c r="WS34" i="10"/>
  <c r="WS31" i="10" s="1"/>
  <c r="UD40" i="10"/>
  <c r="VH43" i="10"/>
  <c r="F78" i="9"/>
  <c r="L81" i="9"/>
  <c r="F107" i="9"/>
  <c r="L111" i="9"/>
  <c r="WQ32" i="10"/>
  <c r="XD32" i="10"/>
  <c r="VF34" i="10"/>
  <c r="US34" i="10"/>
  <c r="US31" i="10" s="1"/>
  <c r="WO37" i="10"/>
  <c r="XB37" i="10"/>
  <c r="WM39" i="10"/>
  <c r="WZ39" i="10"/>
  <c r="VU40" i="10"/>
  <c r="WH40" i="10"/>
  <c r="UU46" i="10"/>
  <c r="VH46" i="10"/>
  <c r="VW33" i="10"/>
  <c r="OD36" i="10"/>
  <c r="UZ46" i="10"/>
  <c r="GA43" i="4"/>
  <c r="GT5" i="2"/>
  <c r="GT11" i="2"/>
  <c r="GH27" i="2"/>
  <c r="GH31" i="2"/>
  <c r="GP66" i="2"/>
  <c r="GV67" i="2"/>
  <c r="B83" i="9"/>
  <c r="CI70" i="3"/>
  <c r="YD5" i="10"/>
  <c r="WQ33" i="10"/>
  <c r="WW33" i="10" s="1"/>
  <c r="XD33" i="10"/>
  <c r="XJ33" i="10" s="1"/>
  <c r="VH34" i="10"/>
  <c r="VH31" i="10" s="1"/>
  <c r="UU34" i="10"/>
  <c r="UU31" i="10" s="1"/>
  <c r="XS31" i="10"/>
  <c r="XW34" i="10"/>
  <c r="VZ10" i="10"/>
  <c r="WQ37" i="10"/>
  <c r="WQ36" i="10" s="1"/>
  <c r="XD37" i="10"/>
  <c r="XD36" i="10" s="1"/>
  <c r="XU36" i="10"/>
  <c r="WJ12" i="10"/>
  <c r="WO39" i="10"/>
  <c r="XB39" i="10"/>
  <c r="WJ14" i="10"/>
  <c r="WJ20" i="10"/>
  <c r="VF32" i="10"/>
  <c r="WS37" i="10"/>
  <c r="VQ46" i="10"/>
  <c r="GG9" i="4"/>
  <c r="GG14" i="4"/>
  <c r="GS42" i="13"/>
  <c r="FG67" i="13"/>
  <c r="FG69" i="13" s="1"/>
  <c r="FI7" i="4"/>
  <c r="CI7" i="4"/>
  <c r="CI16" i="4" s="1"/>
  <c r="GG56" i="4"/>
  <c r="GU14" i="13"/>
  <c r="GS15" i="13"/>
  <c r="GS38" i="13"/>
  <c r="GS58" i="13"/>
  <c r="GS7" i="13"/>
  <c r="GU12" i="13"/>
  <c r="GU43" i="13"/>
  <c r="GU49" i="13"/>
  <c r="GG11" i="4"/>
  <c r="GG19" i="4"/>
  <c r="GU59" i="13"/>
  <c r="CV39" i="12"/>
  <c r="GS31" i="13"/>
  <c r="CX39" i="12"/>
  <c r="GG18" i="4"/>
  <c r="GU13" i="13"/>
  <c r="GU31" i="13"/>
  <c r="GU35" i="13"/>
  <c r="GU60" i="13"/>
  <c r="OZ19" i="10"/>
  <c r="OZ22" i="10" s="1"/>
  <c r="PF19" i="10"/>
  <c r="PF22" i="10" s="1"/>
  <c r="PJ10" i="10"/>
  <c r="OS31" i="10"/>
  <c r="PH19" i="10"/>
  <c r="PH22" i="10" s="1"/>
  <c r="OW33" i="10"/>
  <c r="OM36" i="10"/>
  <c r="PJ5" i="10"/>
  <c r="OM31" i="10"/>
  <c r="UJ39" i="10"/>
  <c r="UH5" i="10"/>
  <c r="TU34" i="10"/>
  <c r="UB36" i="10"/>
  <c r="TM46" i="10"/>
  <c r="UF5" i="10"/>
  <c r="TM38" i="10"/>
  <c r="TO39" i="10"/>
  <c r="TQ46" i="10"/>
  <c r="TZ46" i="10"/>
  <c r="UJ46" i="10" s="1"/>
  <c r="TM33" i="10"/>
  <c r="UD10" i="10"/>
  <c r="TQ32" i="10"/>
  <c r="TQ33" i="10"/>
  <c r="TZ10" i="10"/>
  <c r="TZ36" i="10"/>
  <c r="UJ37" i="10"/>
  <c r="UH31" i="10"/>
  <c r="UF31" i="10"/>
  <c r="UB31" i="10"/>
  <c r="UD34" i="10"/>
  <c r="UJ34" i="10" s="1"/>
  <c r="UD38" i="10"/>
  <c r="UJ38" i="10" s="1"/>
  <c r="TQ34" i="10"/>
  <c r="UJ11" i="10"/>
  <c r="TZ5" i="10"/>
  <c r="TM32" i="10"/>
  <c r="TS34" i="10"/>
  <c r="UJ8" i="10"/>
  <c r="TS37" i="10"/>
  <c r="TQ38" i="10"/>
  <c r="UJ12" i="10"/>
  <c r="TQ39" i="10"/>
  <c r="UJ13" i="10"/>
  <c r="TS46" i="10"/>
  <c r="TZ32" i="10"/>
  <c r="TZ33" i="10"/>
  <c r="UJ33" i="10" s="1"/>
  <c r="TO40" i="10"/>
  <c r="TS33" i="10"/>
  <c r="TS40" i="10"/>
  <c r="GP10" i="2"/>
  <c r="GT14" i="2"/>
  <c r="GV9" i="2"/>
  <c r="GR66" i="2"/>
  <c r="GN9" i="2"/>
  <c r="GL12" i="2"/>
  <c r="GN25" i="2"/>
  <c r="GV27" i="2"/>
  <c r="GL36" i="2"/>
  <c r="GN68" i="2"/>
  <c r="GV25" i="2"/>
  <c r="CJ72" i="2"/>
  <c r="GV5" i="2"/>
  <c r="GT9" i="2"/>
  <c r="CJ20" i="2"/>
  <c r="GV31" i="2"/>
  <c r="GN36" i="2"/>
  <c r="GH36" i="2"/>
  <c r="CV72" i="2"/>
  <c r="GJ7" i="2"/>
  <c r="GH5" i="2"/>
  <c r="GN13" i="2"/>
  <c r="GL14" i="2"/>
  <c r="GL15" i="2"/>
  <c r="GH17" i="2"/>
  <c r="GH72" i="2" s="1"/>
  <c r="GV18" i="2"/>
  <c r="GT26" i="2"/>
  <c r="GL27" i="2"/>
  <c r="CT47" i="2"/>
  <c r="CT57" i="2" s="1"/>
  <c r="GP67" i="2"/>
  <c r="CV7" i="2"/>
  <c r="GP11" i="2"/>
  <c r="GT13" i="2"/>
  <c r="GR17" i="2"/>
  <c r="GR72" i="2" s="1"/>
  <c r="CR20" i="2"/>
  <c r="GR69" i="2"/>
  <c r="GP69" i="2"/>
  <c r="CV20" i="2"/>
  <c r="GT12" i="2"/>
  <c r="GL13" i="2"/>
  <c r="GT17" i="2"/>
  <c r="GT72" i="2" s="1"/>
  <c r="GT18" i="2"/>
  <c r="CT20" i="2"/>
  <c r="GH24" i="2"/>
  <c r="GR26" i="2"/>
  <c r="GP26" i="2"/>
  <c r="GT41" i="2"/>
  <c r="GT47" i="2" s="1"/>
  <c r="GT57" i="2" s="1"/>
  <c r="GT69" i="2"/>
  <c r="CP20" i="2"/>
  <c r="CJ7" i="2"/>
  <c r="GP24" i="2"/>
  <c r="GN4" i="2"/>
  <c r="GP5" i="2"/>
  <c r="GP9" i="2"/>
  <c r="GN10" i="2"/>
  <c r="GN11" i="2"/>
  <c r="GH12" i="2"/>
  <c r="GN12" i="2"/>
  <c r="GV15" i="2"/>
  <c r="GJ15" i="2"/>
  <c r="GJ20" i="2" s="1"/>
  <c r="GN17" i="2"/>
  <c r="GN72" i="2" s="1"/>
  <c r="CN72" i="2"/>
  <c r="GH18" i="2"/>
  <c r="GV26" i="2"/>
  <c r="CL47" i="2"/>
  <c r="GL41" i="2"/>
  <c r="GL47" i="2" s="1"/>
  <c r="GL57" i="2" s="1"/>
  <c r="GH66" i="2"/>
  <c r="GT66" i="2"/>
  <c r="GH68" i="2"/>
  <c r="GP27" i="2"/>
  <c r="GN27" i="2"/>
  <c r="CN20" i="2"/>
  <c r="CN22" i="2" s="1"/>
  <c r="CN29" i="2" s="1"/>
  <c r="CT7" i="2"/>
  <c r="GN14" i="2"/>
  <c r="CX7" i="2"/>
  <c r="GP4" i="2"/>
  <c r="GH15" i="2"/>
  <c r="GP17" i="2"/>
  <c r="GP72" i="2" s="1"/>
  <c r="CP72" i="2"/>
  <c r="GP18" i="2"/>
  <c r="GL25" i="2"/>
  <c r="GH26" i="2"/>
  <c r="GL31" i="2"/>
  <c r="GT36" i="2"/>
  <c r="GL18" i="2"/>
  <c r="GL24" i="2"/>
  <c r="GL26" i="2"/>
  <c r="CL55" i="2"/>
  <c r="GH67" i="2"/>
  <c r="GL69" i="2"/>
  <c r="CL20" i="2"/>
  <c r="GH13" i="2"/>
  <c r="GH25" i="2"/>
  <c r="GL67" i="2"/>
  <c r="FJ20" i="2"/>
  <c r="FU42" i="3"/>
  <c r="FW40" i="3"/>
  <c r="PM19" i="10"/>
  <c r="PM22" i="10" s="1"/>
  <c r="PB36" i="10"/>
  <c r="PO19" i="10"/>
  <c r="PB31" i="10"/>
  <c r="PJ39" i="10"/>
  <c r="OZ36" i="10"/>
  <c r="PF31" i="10"/>
  <c r="PJ33" i="10"/>
  <c r="PJ32" i="10"/>
  <c r="OZ31" i="10"/>
  <c r="BP94" i="12"/>
  <c r="BN93" i="12"/>
  <c r="BP95" i="1"/>
  <c r="BN94" i="1"/>
  <c r="FK7" i="4"/>
  <c r="FL20" i="2"/>
  <c r="FL7" i="2"/>
  <c r="FK67" i="13"/>
  <c r="FK69" i="13" s="1"/>
  <c r="FK43" i="4"/>
  <c r="FU47" i="4"/>
  <c r="FT61" i="2"/>
  <c r="PO31" i="10"/>
  <c r="QB19" i="10"/>
  <c r="PO36" i="10"/>
  <c r="FX14" i="2"/>
  <c r="FN7" i="2"/>
  <c r="BT52" i="1"/>
  <c r="BT56" i="1" s="1"/>
  <c r="BT95" i="1" s="1"/>
  <c r="RH46" i="10"/>
  <c r="QU46" i="10"/>
  <c r="QZ10" i="10"/>
  <c r="PS31" i="10"/>
  <c r="PQ36" i="10"/>
  <c r="QD19" i="10"/>
  <c r="QD22" i="10" s="1"/>
  <c r="PQ31" i="10"/>
  <c r="PW39" i="10"/>
  <c r="PW32" i="10"/>
  <c r="PW33" i="10"/>
  <c r="PM36" i="10"/>
  <c r="PZ19" i="10"/>
  <c r="PZ22" i="10" s="1"/>
  <c r="PM31" i="10"/>
  <c r="GD24" i="2"/>
  <c r="GO57" i="13"/>
  <c r="BT7" i="2"/>
  <c r="BT73" i="2" s="1"/>
  <c r="FN20" i="2"/>
  <c r="FM7" i="4"/>
  <c r="GC43" i="3"/>
  <c r="FM43" i="4"/>
  <c r="FV69" i="2"/>
  <c r="FS57" i="3"/>
  <c r="CZ7" i="2"/>
  <c r="CZ73" i="2" s="1"/>
  <c r="GC14" i="3"/>
  <c r="FS27" i="3"/>
  <c r="GE27" i="3"/>
  <c r="GA27" i="3"/>
  <c r="GQ27" i="3"/>
  <c r="CQ45" i="3"/>
  <c r="GQ59" i="3"/>
  <c r="SU43" i="10"/>
  <c r="GK14" i="13"/>
  <c r="FY59" i="3"/>
  <c r="FY56" i="4"/>
  <c r="GK27" i="3"/>
  <c r="CK45" i="3"/>
  <c r="FU27" i="3"/>
  <c r="BY45" i="3"/>
  <c r="GC58" i="3"/>
  <c r="GD25" i="2"/>
  <c r="FQ41" i="3"/>
  <c r="FQ59" i="3"/>
  <c r="FW18" i="4"/>
  <c r="GO37" i="13"/>
  <c r="DB39" i="12"/>
  <c r="DB21" i="12"/>
  <c r="FU14" i="13"/>
  <c r="FQ12" i="3"/>
  <c r="FQ33" i="3"/>
  <c r="FY41" i="3"/>
  <c r="GU42" i="13"/>
  <c r="GG15" i="13"/>
  <c r="GU19" i="13"/>
  <c r="FS26" i="13"/>
  <c r="GS27" i="13"/>
  <c r="GU51" i="13"/>
  <c r="GU52" i="13"/>
  <c r="GU57" i="13"/>
  <c r="FI67" i="13"/>
  <c r="FI69" i="13" s="1"/>
  <c r="GA26" i="13"/>
  <c r="GU41" i="13"/>
  <c r="FX27" i="2"/>
  <c r="CH39" i="12"/>
  <c r="GC9" i="4"/>
  <c r="FZ67" i="2"/>
  <c r="FY37" i="13"/>
  <c r="BR21" i="12"/>
  <c r="BR39" i="12"/>
  <c r="BU7" i="4"/>
  <c r="BU16" i="4" s="1"/>
  <c r="BU23" i="4" s="1"/>
  <c r="BU27" i="4" s="1"/>
  <c r="BU32" i="4" s="1"/>
  <c r="BU48" i="4" s="1"/>
  <c r="BU49" i="4" s="1"/>
  <c r="BS40" i="3"/>
  <c r="FS40" i="3" s="1"/>
  <c r="GC27" i="3"/>
  <c r="QS46" i="10"/>
  <c r="RO46" i="10"/>
  <c r="FY25" i="4"/>
  <c r="FU55" i="13"/>
  <c r="GK55" i="13"/>
  <c r="SS34" i="10"/>
  <c r="SM38" i="10"/>
  <c r="RQ46" i="10"/>
  <c r="DB47" i="2"/>
  <c r="DB57" i="2" s="1"/>
  <c r="GQ41" i="3"/>
  <c r="RS33" i="10"/>
  <c r="SQ33" i="10"/>
  <c r="FU9" i="4"/>
  <c r="RU34" i="10"/>
  <c r="FV12" i="2"/>
  <c r="GD17" i="2"/>
  <c r="GD72" i="2" s="1"/>
  <c r="FX24" i="2"/>
  <c r="FZ66" i="2"/>
  <c r="GD68" i="2"/>
  <c r="FX69" i="2"/>
  <c r="SH37" i="10"/>
  <c r="RS40" i="10"/>
  <c r="FY42" i="13"/>
  <c r="GO42" i="13"/>
  <c r="GC58" i="13"/>
  <c r="CV21" i="12"/>
  <c r="BZ60" i="12"/>
  <c r="BZ69" i="12" s="1"/>
  <c r="CV85" i="12"/>
  <c r="BZ21" i="12"/>
  <c r="CH21" i="12"/>
  <c r="CX21" i="12"/>
  <c r="BT39" i="12"/>
  <c r="CB39" i="12"/>
  <c r="CJ39" i="12"/>
  <c r="CR39" i="12"/>
  <c r="CZ39" i="12"/>
  <c r="CV51" i="12"/>
  <c r="CV55" i="12" s="1"/>
  <c r="CV94" i="12" s="1"/>
  <c r="CX51" i="12"/>
  <c r="CX55" i="12" s="1"/>
  <c r="CX94" i="12" s="1"/>
  <c r="CX69" i="12"/>
  <c r="FU9" i="13"/>
  <c r="GK9" i="13"/>
  <c r="GC12" i="13"/>
  <c r="GS12" i="13"/>
  <c r="GG13" i="13"/>
  <c r="GU17" i="13"/>
  <c r="BQ28" i="13"/>
  <c r="CW28" i="13"/>
  <c r="CW44" i="13" s="1"/>
  <c r="GU30" i="13"/>
  <c r="GU32" i="13"/>
  <c r="GS35" i="13"/>
  <c r="CS39" i="13"/>
  <c r="GS39" i="13" s="1"/>
  <c r="GO49" i="13"/>
  <c r="GS50" i="13"/>
  <c r="GS52" i="13"/>
  <c r="GU55" i="13"/>
  <c r="GS56" i="13"/>
  <c r="GU58" i="13"/>
  <c r="GS59" i="13"/>
  <c r="CS61" i="13"/>
  <c r="GS49" i="13"/>
  <c r="GS5" i="13"/>
  <c r="GS11" i="13"/>
  <c r="GU15" i="13"/>
  <c r="GC16" i="13"/>
  <c r="GS16" i="13"/>
  <c r="GC19" i="13"/>
  <c r="GS19" i="13"/>
  <c r="GU33" i="13"/>
  <c r="GS41" i="13"/>
  <c r="GG52" i="13"/>
  <c r="GS54" i="13"/>
  <c r="GG59" i="13"/>
  <c r="GO59" i="13"/>
  <c r="FU60" i="13"/>
  <c r="GK60" i="13"/>
  <c r="GS60" i="13"/>
  <c r="CL61" i="1"/>
  <c r="CL70" i="1" s="1"/>
  <c r="FX5" i="2"/>
  <c r="CF20" i="2"/>
  <c r="FX25" i="2"/>
  <c r="GQ14" i="3"/>
  <c r="FU32" i="3"/>
  <c r="FU36" i="3"/>
  <c r="FU51" i="3"/>
  <c r="SZ5" i="10"/>
  <c r="SQ32" i="10"/>
  <c r="BT21" i="12"/>
  <c r="BT41" i="12" s="1"/>
  <c r="CB21" i="12"/>
  <c r="CJ21" i="12"/>
  <c r="CR21" i="12"/>
  <c r="CZ21" i="12"/>
  <c r="CL39" i="12"/>
  <c r="CT39" i="12"/>
  <c r="BW7" i="4"/>
  <c r="BW16" i="4" s="1"/>
  <c r="BW57" i="4" s="1"/>
  <c r="GO31" i="13"/>
  <c r="GC32" i="13"/>
  <c r="GG33" i="13"/>
  <c r="BZ52" i="1"/>
  <c r="BZ56" i="1" s="1"/>
  <c r="BZ95" i="1" s="1"/>
  <c r="DB52" i="1"/>
  <c r="DB56" i="1" s="1"/>
  <c r="DB95" i="1" s="1"/>
  <c r="FX12" i="2"/>
  <c r="GF12" i="2"/>
  <c r="GD13" i="2"/>
  <c r="FX17" i="2"/>
  <c r="FX72" i="2" s="1"/>
  <c r="GD18" i="2"/>
  <c r="FV67" i="2"/>
  <c r="FX68" i="2"/>
  <c r="FR69" i="2"/>
  <c r="FY7" i="3"/>
  <c r="FU9" i="3"/>
  <c r="GC9" i="3"/>
  <c r="FY10" i="3"/>
  <c r="FU18" i="3"/>
  <c r="GC18" i="3"/>
  <c r="FU33" i="3"/>
  <c r="GC33" i="3"/>
  <c r="GC38" i="3"/>
  <c r="FU57" i="3"/>
  <c r="GC57" i="3"/>
  <c r="GC59" i="3"/>
  <c r="SF43" i="10"/>
  <c r="QZ37" i="10"/>
  <c r="QZ36" i="10" s="1"/>
  <c r="CL21" i="12"/>
  <c r="CT21" i="12"/>
  <c r="BX39" i="12"/>
  <c r="CF39" i="12"/>
  <c r="CN39" i="12"/>
  <c r="FW9" i="4"/>
  <c r="GC14" i="4"/>
  <c r="FU25" i="4"/>
  <c r="FU7" i="13"/>
  <c r="GK7" i="13"/>
  <c r="FU15" i="13"/>
  <c r="GK15" i="13"/>
  <c r="FU18" i="13"/>
  <c r="GK18" i="13"/>
  <c r="GO19" i="13"/>
  <c r="GK21" i="13"/>
  <c r="GC41" i="13"/>
  <c r="GC42" i="13"/>
  <c r="GK42" i="13"/>
  <c r="GC48" i="13"/>
  <c r="BT12" i="1"/>
  <c r="BT21" i="1" s="1"/>
  <c r="CB75" i="1"/>
  <c r="CB86" i="1" s="1"/>
  <c r="FR5" i="2"/>
  <c r="FV14" i="2"/>
  <c r="FX31" i="2"/>
  <c r="CZ47" i="2"/>
  <c r="CZ57" i="2" s="1"/>
  <c r="FR68" i="2"/>
  <c r="FZ68" i="2"/>
  <c r="FU13" i="3"/>
  <c r="FQ51" i="3"/>
  <c r="FY51" i="3"/>
  <c r="GQ51" i="3"/>
  <c r="FQ53" i="3"/>
  <c r="GC55" i="3"/>
  <c r="QM32" i="10"/>
  <c r="SU32" i="10"/>
  <c r="SS33" i="10"/>
  <c r="QM34" i="10"/>
  <c r="RM38" i="10"/>
  <c r="SQ38" i="10"/>
  <c r="SD39" i="10"/>
  <c r="BX21" i="12"/>
  <c r="CF21" i="12"/>
  <c r="CN21" i="12"/>
  <c r="BZ39" i="12"/>
  <c r="CY7" i="4"/>
  <c r="CY16" i="4" s="1"/>
  <c r="CY23" i="4" s="1"/>
  <c r="CY27" i="4" s="1"/>
  <c r="CY32" i="4" s="1"/>
  <c r="DA43" i="4"/>
  <c r="GG17" i="13"/>
  <c r="GG27" i="13"/>
  <c r="GO30" i="13"/>
  <c r="GG32" i="13"/>
  <c r="FU33" i="13"/>
  <c r="GK33" i="13"/>
  <c r="GK35" i="13"/>
  <c r="GC38" i="13"/>
  <c r="GK38" i="13"/>
  <c r="FY43" i="13"/>
  <c r="GO43" i="13"/>
  <c r="FU49" i="13"/>
  <c r="GK49" i="13"/>
  <c r="GG50" i="13"/>
  <c r="GO50" i="13"/>
  <c r="FU51" i="13"/>
  <c r="GK51" i="13"/>
  <c r="GG55" i="13"/>
  <c r="CD21" i="12"/>
  <c r="GE43" i="13"/>
  <c r="CS6" i="13"/>
  <c r="CS22" i="13" s="1"/>
  <c r="BW28" i="13"/>
  <c r="GU7" i="13"/>
  <c r="FQ11" i="13"/>
  <c r="GG11" i="13"/>
  <c r="FU12" i="13"/>
  <c r="FU27" i="13"/>
  <c r="GK27" i="13"/>
  <c r="GC30" i="13"/>
  <c r="GK32" i="13"/>
  <c r="GS43" i="13"/>
  <c r="GC49" i="13"/>
  <c r="GU50" i="13"/>
  <c r="GS57" i="13"/>
  <c r="GO15" i="13"/>
  <c r="GM11" i="13"/>
  <c r="GM14" i="13"/>
  <c r="CU28" i="13"/>
  <c r="GS28" i="13" s="1"/>
  <c r="GU16" i="13"/>
  <c r="GC9" i="13"/>
  <c r="GS9" i="13"/>
  <c r="GS17" i="13"/>
  <c r="GU18" i="13"/>
  <c r="GS29" i="13"/>
  <c r="GG30" i="13"/>
  <c r="GS33" i="13"/>
  <c r="GG35" i="13"/>
  <c r="GG43" i="13"/>
  <c r="GE49" i="13"/>
  <c r="FY52" i="13"/>
  <c r="GO52" i="13"/>
  <c r="GG57" i="13"/>
  <c r="FU58" i="13"/>
  <c r="GK58" i="13"/>
  <c r="BV39" i="12"/>
  <c r="BV21" i="12"/>
  <c r="CP39" i="12"/>
  <c r="CP21" i="12"/>
  <c r="CD39" i="12"/>
  <c r="FW19" i="4"/>
  <c r="GO50" i="3"/>
  <c r="RO38" i="10"/>
  <c r="CY43" i="4"/>
  <c r="GE40" i="13"/>
  <c r="BZ7" i="2"/>
  <c r="GD12" i="2"/>
  <c r="FV17" i="2"/>
  <c r="FV72" i="2" s="1"/>
  <c r="GC10" i="3"/>
  <c r="FU12" i="3"/>
  <c r="FU28" i="3"/>
  <c r="FW31" i="3"/>
  <c r="FU39" i="3"/>
  <c r="GC41" i="3"/>
  <c r="FU43" i="3"/>
  <c r="GC51" i="3"/>
  <c r="FY57" i="3"/>
  <c r="SU38" i="10"/>
  <c r="SU39" i="10"/>
  <c r="SS46" i="10"/>
  <c r="GC12" i="4"/>
  <c r="FY18" i="4"/>
  <c r="GC19" i="4"/>
  <c r="GC25" i="4"/>
  <c r="FU16" i="13"/>
  <c r="GK16" i="13"/>
  <c r="GO17" i="13"/>
  <c r="GO27" i="13"/>
  <c r="GK41" i="13"/>
  <c r="BU61" i="13"/>
  <c r="GC50" i="13"/>
  <c r="GC51" i="13"/>
  <c r="GM55" i="13"/>
  <c r="GC56" i="13"/>
  <c r="CB61" i="1"/>
  <c r="CB70" i="1" s="1"/>
  <c r="GQ57" i="3"/>
  <c r="FX13" i="2"/>
  <c r="GD14" i="2"/>
  <c r="GD31" i="2"/>
  <c r="GQ43" i="3"/>
  <c r="RQ32" i="10"/>
  <c r="SM32" i="10"/>
  <c r="QU34" i="10"/>
  <c r="RQ34" i="10"/>
  <c r="BX51" i="12"/>
  <c r="BX55" i="12" s="1"/>
  <c r="BX94" i="12" s="1"/>
  <c r="CN51" i="12"/>
  <c r="CN55" i="12" s="1"/>
  <c r="CN94" i="12" s="1"/>
  <c r="CH51" i="12"/>
  <c r="CH55" i="12" s="1"/>
  <c r="CH94" i="12" s="1"/>
  <c r="FY19" i="4"/>
  <c r="GM16" i="13"/>
  <c r="FW14" i="3"/>
  <c r="GQ36" i="3"/>
  <c r="GQ12" i="3"/>
  <c r="GQ39" i="3"/>
  <c r="GQ49" i="3"/>
  <c r="BZ26" i="1"/>
  <c r="BZ39" i="1" s="1"/>
  <c r="FV15" i="2"/>
  <c r="FV66" i="2"/>
  <c r="GD67" i="2"/>
  <c r="FU14" i="3"/>
  <c r="FY18" i="3"/>
  <c r="FY53" i="3"/>
  <c r="FU55" i="3"/>
  <c r="FU59" i="3"/>
  <c r="RF5" i="10"/>
  <c r="SO32" i="10"/>
  <c r="SQ34" i="10"/>
  <c r="SO37" i="10"/>
  <c r="FY5" i="4"/>
  <c r="GC7" i="13"/>
  <c r="GC15" i="13"/>
  <c r="GE17" i="13"/>
  <c r="GC18" i="13"/>
  <c r="GG19" i="13"/>
  <c r="GO21" i="13"/>
  <c r="GC26" i="13"/>
  <c r="GE27" i="13"/>
  <c r="FQ29" i="13"/>
  <c r="GG29" i="13"/>
  <c r="FU30" i="13"/>
  <c r="GK30" i="13"/>
  <c r="FU31" i="13"/>
  <c r="GK31" i="13"/>
  <c r="GO32" i="13"/>
  <c r="GO33" i="13"/>
  <c r="GC35" i="13"/>
  <c r="GO40" i="13"/>
  <c r="GG42" i="13"/>
  <c r="GO58" i="13"/>
  <c r="BR75" i="1"/>
  <c r="BR86" i="1" s="1"/>
  <c r="FO44" i="3"/>
  <c r="FQ44" i="3"/>
  <c r="GF5" i="2"/>
  <c r="FW22" i="3"/>
  <c r="GE15" i="13"/>
  <c r="GE57" i="13"/>
  <c r="GM60" i="13"/>
  <c r="SD34" i="10"/>
  <c r="GM31" i="13"/>
  <c r="FQ33" i="13"/>
  <c r="CK39" i="13"/>
  <c r="BT61" i="2"/>
  <c r="BS47" i="4" s="1"/>
  <c r="GF67" i="2"/>
  <c r="RM5" i="10"/>
  <c r="GE55" i="13"/>
  <c r="GM27" i="13"/>
  <c r="FW28" i="3"/>
  <c r="RO10" i="10"/>
  <c r="RO5" i="10"/>
  <c r="SM5" i="10"/>
  <c r="GC5" i="13"/>
  <c r="GF68" i="2"/>
  <c r="FW60" i="3"/>
  <c r="GE18" i="4"/>
  <c r="FU11" i="4"/>
  <c r="FU4" i="4"/>
  <c r="GM51" i="13"/>
  <c r="FU26" i="13"/>
  <c r="FO29" i="13"/>
  <c r="GC11" i="4"/>
  <c r="GE31" i="13"/>
  <c r="BR60" i="12"/>
  <c r="BR69" i="12" s="1"/>
  <c r="CC7" i="4"/>
  <c r="CC16" i="4" s="1"/>
  <c r="CC23" i="4" s="1"/>
  <c r="BU43" i="4"/>
  <c r="GM12" i="13"/>
  <c r="FW52" i="13"/>
  <c r="GM52" i="13"/>
  <c r="GM57" i="13"/>
  <c r="GE60" i="13"/>
  <c r="GF69" i="2"/>
  <c r="FP69" i="2"/>
  <c r="FW8" i="3"/>
  <c r="SB34" i="10"/>
  <c r="FW42" i="13"/>
  <c r="GM42" i="13"/>
  <c r="FW43" i="13"/>
  <c r="GM43" i="13"/>
  <c r="CD7" i="2"/>
  <c r="CD73" i="2" s="1"/>
  <c r="QM5" i="10"/>
  <c r="CD74" i="12"/>
  <c r="CD85" i="12" s="1"/>
  <c r="BY39" i="13"/>
  <c r="CD75" i="1"/>
  <c r="CD86" i="1" s="1"/>
  <c r="GF14" i="2"/>
  <c r="QW17" i="10"/>
  <c r="SB46" i="10"/>
  <c r="GE50" i="13"/>
  <c r="CD26" i="1"/>
  <c r="CD39" i="1" s="1"/>
  <c r="QO5" i="10"/>
  <c r="GF26" i="2"/>
  <c r="QO10" i="10"/>
  <c r="SH38" i="10"/>
  <c r="FQ57" i="13"/>
  <c r="SW17" i="10"/>
  <c r="CK61" i="13"/>
  <c r="CH7" i="2"/>
  <c r="CH73" i="2" s="1"/>
  <c r="FW58" i="3"/>
  <c r="GC4" i="4"/>
  <c r="GE9" i="13"/>
  <c r="GM13" i="13"/>
  <c r="GE33" i="13"/>
  <c r="FW37" i="13"/>
  <c r="GM37" i="13"/>
  <c r="GC40" i="13"/>
  <c r="GM59" i="13"/>
  <c r="TW13" i="10"/>
  <c r="SH33" i="10"/>
  <c r="BR47" i="2"/>
  <c r="BR57" i="2" s="1"/>
  <c r="FW30" i="3"/>
  <c r="SO10" i="10"/>
  <c r="GE14" i="4"/>
  <c r="FO11" i="13"/>
  <c r="GE51" i="13"/>
  <c r="SH46" i="10"/>
  <c r="GM33" i="13"/>
  <c r="CG39" i="13"/>
  <c r="GO13" i="13"/>
  <c r="GF17" i="2"/>
  <c r="GF72" i="2" s="1"/>
  <c r="TM5" i="10"/>
  <c r="QO32" i="10"/>
  <c r="SW7" i="10"/>
  <c r="CP51" i="12"/>
  <c r="CP55" i="12" s="1"/>
  <c r="CP94" i="12" s="1"/>
  <c r="GE9" i="4"/>
  <c r="GC43" i="4"/>
  <c r="GM9" i="13"/>
  <c r="GE11" i="13"/>
  <c r="GE37" i="13"/>
  <c r="GM40" i="13"/>
  <c r="GM49" i="13"/>
  <c r="FP5" i="2"/>
  <c r="FP7" i="2" s="1"/>
  <c r="BR7" i="2"/>
  <c r="BR51" i="12"/>
  <c r="BR55" i="12" s="1"/>
  <c r="BR94" i="12" s="1"/>
  <c r="RU32" i="10"/>
  <c r="RU5" i="10"/>
  <c r="GQ17" i="3"/>
  <c r="GO17" i="3"/>
  <c r="RD32" i="10"/>
  <c r="RD31" i="10" s="1"/>
  <c r="RD5" i="10"/>
  <c r="RZ32" i="10"/>
  <c r="VW6" i="10"/>
  <c r="VO32" i="10"/>
  <c r="VO31" i="10" s="1"/>
  <c r="VO5" i="10"/>
  <c r="VO19" i="10" s="1"/>
  <c r="VO22" i="10" s="1"/>
  <c r="SU34" i="10"/>
  <c r="SU5" i="10"/>
  <c r="GK5" i="13"/>
  <c r="CL21" i="1"/>
  <c r="CB7" i="2"/>
  <c r="CB73" i="2" s="1"/>
  <c r="BT20" i="2"/>
  <c r="GO7" i="3"/>
  <c r="GQ7" i="3"/>
  <c r="CQ6" i="3"/>
  <c r="GQ6" i="3" s="1"/>
  <c r="GO16" i="3"/>
  <c r="GQ16" i="3"/>
  <c r="BV20" i="2"/>
  <c r="DB20" i="2"/>
  <c r="CM47" i="4"/>
  <c r="BU6" i="3"/>
  <c r="BU23" i="3" s="1"/>
  <c r="CY6" i="3"/>
  <c r="CY23" i="3" s="1"/>
  <c r="FU31" i="3"/>
  <c r="BU29" i="3"/>
  <c r="FS41" i="13"/>
  <c r="GG41" i="13"/>
  <c r="GI41" i="13"/>
  <c r="BZ75" i="1"/>
  <c r="BZ86" i="1" s="1"/>
  <c r="CZ86" i="1"/>
  <c r="CF7" i="2"/>
  <c r="GF4" i="2"/>
  <c r="GD69" i="2"/>
  <c r="FW10" i="3"/>
  <c r="FY27" i="3"/>
  <c r="GQ30" i="3"/>
  <c r="GO30" i="3"/>
  <c r="GC39" i="3"/>
  <c r="FW52" i="3"/>
  <c r="FU52" i="3"/>
  <c r="FU61" i="3"/>
  <c r="FW61" i="3"/>
  <c r="SO33" i="10"/>
  <c r="QF46" i="10"/>
  <c r="CO28" i="13"/>
  <c r="GO29" i="13"/>
  <c r="FS55" i="13"/>
  <c r="FQ55" i="13"/>
  <c r="BX7" i="2"/>
  <c r="FX4" i="2"/>
  <c r="FP20" i="2"/>
  <c r="GE52" i="3"/>
  <c r="GC52" i="3"/>
  <c r="RQ37" i="10"/>
  <c r="RQ10" i="10"/>
  <c r="BR20" i="2"/>
  <c r="TO34" i="10"/>
  <c r="TO5" i="10"/>
  <c r="FU5" i="13"/>
  <c r="CH21" i="1"/>
  <c r="GO31" i="3"/>
  <c r="GQ31" i="3"/>
  <c r="CA62" i="3"/>
  <c r="GA49" i="3"/>
  <c r="GO55" i="3"/>
  <c r="GQ55" i="3"/>
  <c r="BT61" i="1"/>
  <c r="BT70" i="1" s="1"/>
  <c r="BZ20" i="2"/>
  <c r="BX72" i="2"/>
  <c r="GO10" i="3"/>
  <c r="GQ10" i="3"/>
  <c r="FW44" i="3"/>
  <c r="FU44" i="3"/>
  <c r="RW6" i="10"/>
  <c r="TU32" i="10"/>
  <c r="TU5" i="10"/>
  <c r="QS34" i="10"/>
  <c r="QF34" i="10"/>
  <c r="SM34" i="10"/>
  <c r="RZ34" i="10"/>
  <c r="RZ38" i="10"/>
  <c r="FP68" i="2"/>
  <c r="SQ5" i="10"/>
  <c r="QD37" i="10"/>
  <c r="QQ10" i="10"/>
  <c r="UJ14" i="10"/>
  <c r="UH10" i="10"/>
  <c r="TF43" i="10"/>
  <c r="TJ43" i="10" s="1"/>
  <c r="SS43" i="10"/>
  <c r="FU43" i="4"/>
  <c r="FS48" i="13"/>
  <c r="FQ48" i="13"/>
  <c r="GG48" i="13"/>
  <c r="GI48" i="13"/>
  <c r="FR66" i="2"/>
  <c r="FP66" i="2"/>
  <c r="TH33" i="10"/>
  <c r="TH31" i="10" s="1"/>
  <c r="TH5" i="10"/>
  <c r="CD12" i="1"/>
  <c r="CD21" i="1" s="1"/>
  <c r="CH70" i="1"/>
  <c r="CH20" i="2"/>
  <c r="BY6" i="3"/>
  <c r="BY23" i="3" s="1"/>
  <c r="SQ10" i="10"/>
  <c r="CZ20" i="2"/>
  <c r="CK6" i="3"/>
  <c r="GK6" i="3" s="1"/>
  <c r="GQ40" i="3"/>
  <c r="GO40" i="3"/>
  <c r="TQ10" i="10"/>
  <c r="CZ70" i="1"/>
  <c r="CB12" i="1"/>
  <c r="CB21" i="1" s="1"/>
  <c r="FV47" i="2"/>
  <c r="FV57" i="2" s="1"/>
  <c r="SO5" i="10"/>
  <c r="SH32" i="10"/>
  <c r="TD32" i="10"/>
  <c r="TD31" i="10" s="1"/>
  <c r="TD5" i="10"/>
  <c r="QB33" i="10"/>
  <c r="QB31" i="10" s="1"/>
  <c r="QO33" i="10"/>
  <c r="RH37" i="10"/>
  <c r="RH36" i="10" s="1"/>
  <c r="RH10" i="10"/>
  <c r="TH37" i="10"/>
  <c r="TH36" i="10" s="1"/>
  <c r="TH10" i="10"/>
  <c r="SW14" i="10"/>
  <c r="SS40" i="10"/>
  <c r="FW40" i="13"/>
  <c r="BR61" i="1"/>
  <c r="BR70" i="1" s="1"/>
  <c r="CL7" i="2"/>
  <c r="DB7" i="2"/>
  <c r="DB73" i="2" s="1"/>
  <c r="FZ5" i="2"/>
  <c r="GF15" i="2"/>
  <c r="FX18" i="2"/>
  <c r="GF25" i="2"/>
  <c r="GF27" i="2"/>
  <c r="CU47" i="4"/>
  <c r="GF66" i="2"/>
  <c r="FX67" i="2"/>
  <c r="GQ9" i="3"/>
  <c r="GO9" i="3"/>
  <c r="FW15" i="3"/>
  <c r="GC16" i="3"/>
  <c r="GO18" i="3"/>
  <c r="GQ18" i="3"/>
  <c r="GO33" i="3"/>
  <c r="GQ33" i="3"/>
  <c r="CY62" i="3"/>
  <c r="GO60" i="3"/>
  <c r="GO61" i="3"/>
  <c r="GQ61" i="3"/>
  <c r="GC14" i="13"/>
  <c r="GM17" i="13"/>
  <c r="GC33" i="13"/>
  <c r="GO35" i="13"/>
  <c r="FO43" i="13"/>
  <c r="FQ43" i="13"/>
  <c r="FS27" i="13"/>
  <c r="FQ27" i="13"/>
  <c r="BR26" i="1"/>
  <c r="BR39" i="1" s="1"/>
  <c r="CF39" i="1"/>
  <c r="CB52" i="1"/>
  <c r="CB56" i="1" s="1"/>
  <c r="CB95" i="1" s="1"/>
  <c r="BR52" i="1"/>
  <c r="BR56" i="1" s="1"/>
  <c r="BR95" i="1" s="1"/>
  <c r="CH52" i="1"/>
  <c r="CH56" i="1" s="1"/>
  <c r="CH95" i="1" s="1"/>
  <c r="BZ61" i="1"/>
  <c r="BZ70" i="1" s="1"/>
  <c r="GD5" i="2"/>
  <c r="BX20" i="2"/>
  <c r="GF13" i="2"/>
  <c r="FX15" i="2"/>
  <c r="GF18" i="2"/>
  <c r="GF24" i="2"/>
  <c r="FX26" i="2"/>
  <c r="GF31" i="2"/>
  <c r="BV47" i="2"/>
  <c r="BV57" i="2" s="1"/>
  <c r="FX66" i="2"/>
  <c r="CF72" i="2"/>
  <c r="FY9" i="3"/>
  <c r="FW11" i="3"/>
  <c r="GC12" i="3"/>
  <c r="FU16" i="3"/>
  <c r="FW19" i="3"/>
  <c r="FQ27" i="3"/>
  <c r="GE28" i="3"/>
  <c r="GC28" i="3"/>
  <c r="FW32" i="3"/>
  <c r="FY33" i="3"/>
  <c r="FW34" i="3"/>
  <c r="GC36" i="3"/>
  <c r="FO40" i="3"/>
  <c r="RM32" i="10"/>
  <c r="SD33" i="10"/>
  <c r="RW8" i="10"/>
  <c r="SH34" i="10"/>
  <c r="SZ37" i="10"/>
  <c r="SZ36" i="10" s="1"/>
  <c r="SZ10" i="10"/>
  <c r="SD38" i="10"/>
  <c r="TO38" i="10"/>
  <c r="TO10" i="10"/>
  <c r="SS39" i="10"/>
  <c r="UF43" i="10"/>
  <c r="UF36" i="10" s="1"/>
  <c r="UJ17" i="10"/>
  <c r="UF10" i="10"/>
  <c r="CF51" i="12"/>
  <c r="CF55" i="12" s="1"/>
  <c r="CF94" i="12" s="1"/>
  <c r="BZ51" i="12"/>
  <c r="BZ55" i="12" s="1"/>
  <c r="BZ94" i="12" s="1"/>
  <c r="FQ56" i="4"/>
  <c r="GK26" i="13"/>
  <c r="GA41" i="13"/>
  <c r="FY41" i="13"/>
  <c r="GA48" i="13"/>
  <c r="GE52" i="13"/>
  <c r="GG58" i="13"/>
  <c r="GE59" i="13"/>
  <c r="BZ74" i="12"/>
  <c r="BZ85" i="12" s="1"/>
  <c r="FO52" i="13"/>
  <c r="FQ52" i="13"/>
  <c r="FQ59" i="13"/>
  <c r="FO59" i="13"/>
  <c r="CD61" i="1"/>
  <c r="CD70" i="1" s="1"/>
  <c r="CB20" i="2"/>
  <c r="FQ50" i="3"/>
  <c r="QU32" i="10"/>
  <c r="QU5" i="10"/>
  <c r="TF5" i="10"/>
  <c r="TF32" i="10"/>
  <c r="TF31" i="10" s="1"/>
  <c r="RQ38" i="10"/>
  <c r="GE29" i="13"/>
  <c r="CG28" i="13"/>
  <c r="GE30" i="13"/>
  <c r="CE28" i="13"/>
  <c r="CF85" i="12"/>
  <c r="CF70" i="1"/>
  <c r="BT75" i="1"/>
  <c r="BT86" i="1" s="1"/>
  <c r="CD20" i="2"/>
  <c r="FV13" i="2"/>
  <c r="GD15" i="2"/>
  <c r="FV18" i="2"/>
  <c r="GD26" i="2"/>
  <c r="FV36" i="2"/>
  <c r="GD66" i="2"/>
  <c r="FR67" i="2"/>
  <c r="FV68" i="2"/>
  <c r="FZ69" i="2"/>
  <c r="CC6" i="3"/>
  <c r="FY8" i="3"/>
  <c r="FQ10" i="3"/>
  <c r="GQ29" i="3"/>
  <c r="GC31" i="3"/>
  <c r="BS62" i="3"/>
  <c r="FS49" i="3"/>
  <c r="TQ5" i="10"/>
  <c r="RU38" i="10"/>
  <c r="RU39" i="10"/>
  <c r="CJ85" i="12"/>
  <c r="GO41" i="13"/>
  <c r="GG49" i="13"/>
  <c r="FY12" i="3"/>
  <c r="FW13" i="3"/>
  <c r="FY14" i="3"/>
  <c r="FY16" i="3"/>
  <c r="FW17" i="3"/>
  <c r="FQ30" i="3"/>
  <c r="FQ36" i="3"/>
  <c r="FQ39" i="3"/>
  <c r="DA40" i="3"/>
  <c r="FY43" i="3"/>
  <c r="FQ49" i="3"/>
  <c r="GC53" i="3"/>
  <c r="GQ53" i="3"/>
  <c r="FQ55" i="3"/>
  <c r="FQ60" i="3"/>
  <c r="FQ61" i="3"/>
  <c r="GE61" i="3"/>
  <c r="QS33" i="10"/>
  <c r="QF33" i="10"/>
  <c r="SM33" i="10"/>
  <c r="SF46" i="10"/>
  <c r="CZ85" i="12"/>
  <c r="CT85" i="12"/>
  <c r="GE10" i="4"/>
  <c r="GG10" i="4"/>
  <c r="GE11" i="4"/>
  <c r="GE12" i="4"/>
  <c r="FU18" i="4"/>
  <c r="GE56" i="4"/>
  <c r="FQ10" i="13"/>
  <c r="GG10" i="13"/>
  <c r="GM15" i="13"/>
  <c r="GC17" i="13"/>
  <c r="GM29" i="13"/>
  <c r="GC31" i="13"/>
  <c r="FQ31" i="13"/>
  <c r="FU32" i="13"/>
  <c r="GM32" i="13"/>
  <c r="GK40" i="13"/>
  <c r="FU43" i="13"/>
  <c r="GK43" i="13"/>
  <c r="GO48" i="13"/>
  <c r="GC57" i="13"/>
  <c r="GC60" i="13"/>
  <c r="DA29" i="3"/>
  <c r="CY29" i="3"/>
  <c r="DA62" i="3"/>
  <c r="RF31" i="10"/>
  <c r="RO32" i="10"/>
  <c r="TW6" i="10"/>
  <c r="TO32" i="10"/>
  <c r="RU33" i="10"/>
  <c r="QU38" i="10"/>
  <c r="QH38" i="10"/>
  <c r="FO41" i="4"/>
  <c r="FQ41" i="4"/>
  <c r="GM30" i="13"/>
  <c r="CM28" i="13"/>
  <c r="GG31" i="13"/>
  <c r="GE42" i="13"/>
  <c r="FU50" i="13"/>
  <c r="GK50" i="13"/>
  <c r="FY31" i="3"/>
  <c r="FY36" i="3"/>
  <c r="FW38" i="3"/>
  <c r="FY39" i="3"/>
  <c r="FQ43" i="3"/>
  <c r="FY49" i="3"/>
  <c r="FW50" i="3"/>
  <c r="FU53" i="3"/>
  <c r="FY55" i="3"/>
  <c r="FW56" i="3"/>
  <c r="SD32" i="10"/>
  <c r="SB33" i="10"/>
  <c r="SU33" i="10"/>
  <c r="TW7" i="10"/>
  <c r="TO33" i="10"/>
  <c r="TJ34" i="10"/>
  <c r="SQ46" i="10"/>
  <c r="QO34" i="10"/>
  <c r="CR85" i="12"/>
  <c r="CL85" i="12"/>
  <c r="FU5" i="4"/>
  <c r="FW5" i="4"/>
  <c r="DA7" i="4"/>
  <c r="DA16" i="4" s="1"/>
  <c r="DA23" i="4" s="1"/>
  <c r="DA27" i="4" s="1"/>
  <c r="DA32" i="4" s="1"/>
  <c r="DA48" i="4" s="1"/>
  <c r="DA49" i="4" s="1"/>
  <c r="FW10" i="4"/>
  <c r="GC18" i="4"/>
  <c r="FW56" i="4"/>
  <c r="GO10" i="13"/>
  <c r="GO11" i="13"/>
  <c r="FU17" i="13"/>
  <c r="GK17" i="13"/>
  <c r="GC21" i="13"/>
  <c r="GC27" i="13"/>
  <c r="GE32" i="13"/>
  <c r="FQ37" i="13"/>
  <c r="FO37" i="13"/>
  <c r="GG37" i="13"/>
  <c r="GC43" i="13"/>
  <c r="GM50" i="13"/>
  <c r="GC54" i="13"/>
  <c r="GC55" i="13"/>
  <c r="FU56" i="13"/>
  <c r="GK56" i="13"/>
  <c r="FU57" i="13"/>
  <c r="GK57" i="13"/>
  <c r="SD37" i="10"/>
  <c r="SS37" i="10"/>
  <c r="SO39" i="10"/>
  <c r="CH69" i="12"/>
  <c r="CB60" i="12"/>
  <c r="CB69" i="12" s="1"/>
  <c r="FY9" i="4"/>
  <c r="FU10" i="4"/>
  <c r="GA18" i="4"/>
  <c r="GE25" i="4"/>
  <c r="FU56" i="4"/>
  <c r="GE7" i="13"/>
  <c r="CC6" i="13"/>
  <c r="CC22" i="13" s="1"/>
  <c r="GC11" i="13"/>
  <c r="GO12" i="13"/>
  <c r="GG14" i="13"/>
  <c r="GG16" i="13"/>
  <c r="GE19" i="13"/>
  <c r="GE35" i="13"/>
  <c r="GK37" i="13"/>
  <c r="FY38" i="13"/>
  <c r="GO38" i="13"/>
  <c r="FQ50" i="13"/>
  <c r="GG51" i="13"/>
  <c r="FU52" i="13"/>
  <c r="GK52" i="13"/>
  <c r="GG54" i="13"/>
  <c r="GO56" i="13"/>
  <c r="GM58" i="13"/>
  <c r="GC59" i="13"/>
  <c r="GG60" i="13"/>
  <c r="RQ39" i="10"/>
  <c r="BX85" i="12"/>
  <c r="CN85" i="12"/>
  <c r="BR74" i="12"/>
  <c r="BR85" i="12" s="1"/>
  <c r="BV74" i="12"/>
  <c r="BV85" i="12" s="1"/>
  <c r="GE4" i="4"/>
  <c r="GG4" i="4"/>
  <c r="FS9" i="4"/>
  <c r="FY12" i="4"/>
  <c r="FU19" i="4"/>
  <c r="GE12" i="13"/>
  <c r="GE13" i="13"/>
  <c r="FU19" i="13"/>
  <c r="GG21" i="13"/>
  <c r="SF39" i="10"/>
  <c r="SH40" i="10"/>
  <c r="RS46" i="10"/>
  <c r="SO46" i="10"/>
  <c r="CP69" i="12"/>
  <c r="BT60" i="12"/>
  <c r="BT69" i="12" s="1"/>
  <c r="GC10" i="4"/>
  <c r="FY14" i="4"/>
  <c r="FW25" i="4"/>
  <c r="GC56" i="4"/>
  <c r="GM7" i="13"/>
  <c r="BU6" i="13"/>
  <c r="FU11" i="13"/>
  <c r="GK11" i="13"/>
  <c r="FQ12" i="13"/>
  <c r="GG12" i="13"/>
  <c r="GO14" i="13"/>
  <c r="GO16" i="13"/>
  <c r="GM19" i="13"/>
  <c r="GM35" i="13"/>
  <c r="GC37" i="13"/>
  <c r="GG38" i="13"/>
  <c r="GO51" i="13"/>
  <c r="GC52" i="13"/>
  <c r="GO54" i="13"/>
  <c r="GG56" i="13"/>
  <c r="GE58" i="13"/>
  <c r="FU59" i="13"/>
  <c r="GK59" i="13"/>
  <c r="GO60" i="13"/>
  <c r="GB11" i="2"/>
  <c r="GD47" i="2"/>
  <c r="GD57" i="2" s="1"/>
  <c r="CZ21" i="1"/>
  <c r="CZ39" i="1"/>
  <c r="BT26" i="1"/>
  <c r="BT39" i="1" s="1"/>
  <c r="CB26" i="1"/>
  <c r="CB39" i="1" s="1"/>
  <c r="DB70" i="1"/>
  <c r="CF86" i="1"/>
  <c r="GF36" i="2"/>
  <c r="GD36" i="2"/>
  <c r="CA47" i="4"/>
  <c r="GB61" i="2"/>
  <c r="GA47" i="4" s="1"/>
  <c r="GB17" i="2"/>
  <c r="GB72" i="2" s="1"/>
  <c r="GE47" i="4"/>
  <c r="GH61" i="2"/>
  <c r="CL39" i="1"/>
  <c r="CL86" i="1"/>
  <c r="CQ47" i="4"/>
  <c r="CF21" i="1"/>
  <c r="DB21" i="1"/>
  <c r="BR12" i="1"/>
  <c r="BR21" i="1" s="1"/>
  <c r="BZ12" i="1"/>
  <c r="BZ21" i="1" s="1"/>
  <c r="CH39" i="1"/>
  <c r="DB39" i="1"/>
  <c r="CF52" i="1"/>
  <c r="CF56" i="1" s="1"/>
  <c r="CZ52" i="1"/>
  <c r="CZ56" i="1" s="1"/>
  <c r="CD52" i="1"/>
  <c r="CD56" i="1" s="1"/>
  <c r="CL52" i="1"/>
  <c r="CL56" i="1" s="1"/>
  <c r="CH86" i="1"/>
  <c r="DB86" i="1"/>
  <c r="FT11" i="2"/>
  <c r="FR12" i="2"/>
  <c r="FZ12" i="2"/>
  <c r="FR13" i="2"/>
  <c r="FZ13" i="2"/>
  <c r="FR14" i="2"/>
  <c r="FZ14" i="2"/>
  <c r="FR15" i="2"/>
  <c r="FZ15" i="2"/>
  <c r="FR17" i="2"/>
  <c r="FR72" i="2" s="1"/>
  <c r="FZ17" i="2"/>
  <c r="FZ72" i="2" s="1"/>
  <c r="FT17" i="2"/>
  <c r="FT72" i="2" s="1"/>
  <c r="FR18" i="2"/>
  <c r="FZ18" i="2"/>
  <c r="FR24" i="2"/>
  <c r="FZ24" i="2"/>
  <c r="FR25" i="2"/>
  <c r="FZ25" i="2"/>
  <c r="FR26" i="2"/>
  <c r="FZ26" i="2"/>
  <c r="FR27" i="2"/>
  <c r="FR31" i="2"/>
  <c r="FZ31" i="2"/>
  <c r="L87" i="9"/>
  <c r="L108" i="9"/>
  <c r="FY5" i="3"/>
  <c r="GO5" i="3"/>
  <c r="FQ8" i="3"/>
  <c r="SS5" i="10"/>
  <c r="SS32" i="10"/>
  <c r="QZ5" i="10"/>
  <c r="QZ33" i="10"/>
  <c r="RJ7" i="10"/>
  <c r="QD34" i="10"/>
  <c r="QQ34" i="10"/>
  <c r="SS38" i="10"/>
  <c r="SS10" i="10"/>
  <c r="RM39" i="10"/>
  <c r="RW13" i="10"/>
  <c r="QD46" i="10"/>
  <c r="QQ46" i="10"/>
  <c r="FR4" i="2"/>
  <c r="FZ4" i="2"/>
  <c r="GH4" i="2"/>
  <c r="FV11" i="2"/>
  <c r="GD11" i="2"/>
  <c r="GL11" i="2"/>
  <c r="GL17" i="2"/>
  <c r="GL72" i="2" s="1"/>
  <c r="GD27" i="2"/>
  <c r="CD47" i="2"/>
  <c r="CD57" i="2" s="1"/>
  <c r="BR72" i="2"/>
  <c r="BZ72" i="2"/>
  <c r="B78" i="9"/>
  <c r="B107" i="9"/>
  <c r="FS5" i="3"/>
  <c r="GQ5" i="3"/>
  <c r="BS6" i="3"/>
  <c r="FS6" i="3" s="1"/>
  <c r="CA6" i="3"/>
  <c r="GA6" i="3" s="1"/>
  <c r="FU7" i="3"/>
  <c r="GC7" i="3"/>
  <c r="GA8" i="3"/>
  <c r="GQ8" i="3"/>
  <c r="FQ9" i="3"/>
  <c r="FQ11" i="3"/>
  <c r="GO11" i="3"/>
  <c r="FY13" i="3"/>
  <c r="FU15" i="3"/>
  <c r="FW18" i="3"/>
  <c r="FO27" i="3"/>
  <c r="GO34" i="3"/>
  <c r="CY40" i="3"/>
  <c r="FW42" i="3"/>
  <c r="CE40" i="3"/>
  <c r="GE40" i="3" s="1"/>
  <c r="GE42" i="3"/>
  <c r="BU62" i="3"/>
  <c r="FU49" i="3"/>
  <c r="CC62" i="3"/>
  <c r="GC49" i="3"/>
  <c r="FY50" i="3"/>
  <c r="FO51" i="3"/>
  <c r="GO56" i="3"/>
  <c r="FY60" i="3"/>
  <c r="FO61" i="3"/>
  <c r="CQ62" i="3"/>
  <c r="RB5" i="10"/>
  <c r="RB32" i="10"/>
  <c r="RB31" i="10" s="1"/>
  <c r="RJ6" i="10"/>
  <c r="RS5" i="10"/>
  <c r="RS32" i="10"/>
  <c r="QD33" i="10"/>
  <c r="QQ5" i="10"/>
  <c r="QQ33" i="10"/>
  <c r="PZ37" i="10"/>
  <c r="QM10" i="10"/>
  <c r="QM37" i="10"/>
  <c r="QW11" i="10"/>
  <c r="QU37" i="10"/>
  <c r="QU10" i="10"/>
  <c r="SM10" i="10"/>
  <c r="SM37" i="10"/>
  <c r="SW11" i="10"/>
  <c r="SU37" i="10"/>
  <c r="SU10" i="10"/>
  <c r="RB38" i="10"/>
  <c r="RJ38" i="10" s="1"/>
  <c r="RB10" i="10"/>
  <c r="RJ12" i="10"/>
  <c r="RS38" i="10"/>
  <c r="RS10" i="10"/>
  <c r="RU40" i="10"/>
  <c r="RW14" i="10"/>
  <c r="RW20" i="10"/>
  <c r="RZ46" i="10"/>
  <c r="TW20" i="10"/>
  <c r="RO33" i="10"/>
  <c r="QU39" i="10"/>
  <c r="L103" i="9"/>
  <c r="GO8" i="3"/>
  <c r="GC11" i="3"/>
  <c r="FO12" i="3"/>
  <c r="FY34" i="3"/>
  <c r="FO36" i="3"/>
  <c r="FY56" i="3"/>
  <c r="FO57" i="3"/>
  <c r="SB32" i="10"/>
  <c r="RH5" i="10"/>
  <c r="RH33" i="10"/>
  <c r="RH31" i="10" s="1"/>
  <c r="RD10" i="10"/>
  <c r="RD37" i="10"/>
  <c r="RD36" i="10" s="1"/>
  <c r="TD10" i="10"/>
  <c r="TD37" i="10"/>
  <c r="TD36" i="10" s="1"/>
  <c r="TS43" i="10"/>
  <c r="TW17" i="10"/>
  <c r="FT4" i="2"/>
  <c r="GB4" i="2"/>
  <c r="GB7" i="2" s="1"/>
  <c r="FX11" i="2"/>
  <c r="GF11" i="2"/>
  <c r="FU5" i="3"/>
  <c r="GC5" i="3"/>
  <c r="FW7" i="3"/>
  <c r="FU8" i="3"/>
  <c r="GC8" i="3"/>
  <c r="FO10" i="3"/>
  <c r="FU11" i="3"/>
  <c r="FW12" i="3"/>
  <c r="GC13" i="3"/>
  <c r="GC15" i="3"/>
  <c r="FU22" i="3"/>
  <c r="CC29" i="3"/>
  <c r="FW36" i="3"/>
  <c r="GQ54" i="3"/>
  <c r="GO54" i="3"/>
  <c r="FW57" i="3"/>
  <c r="CE62" i="3"/>
  <c r="GE62" i="3" s="1"/>
  <c r="CG70" i="3"/>
  <c r="QS5" i="10"/>
  <c r="QS32" i="10"/>
  <c r="SW6" i="10"/>
  <c r="SZ31" i="10"/>
  <c r="RJ11" i="10"/>
  <c r="SB37" i="10"/>
  <c r="SF37" i="10"/>
  <c r="TJ11" i="10"/>
  <c r="QS38" i="10"/>
  <c r="QF38" i="10"/>
  <c r="QS10" i="10"/>
  <c r="PZ39" i="10"/>
  <c r="QM39" i="10"/>
  <c r="QW13" i="10"/>
  <c r="SM39" i="10"/>
  <c r="SW13" i="10"/>
  <c r="RF40" i="10"/>
  <c r="RJ40" i="10" s="1"/>
  <c r="RF10" i="10"/>
  <c r="RJ14" i="10"/>
  <c r="TU40" i="10"/>
  <c r="TW14" i="10"/>
  <c r="SH43" i="10"/>
  <c r="GD4" i="2"/>
  <c r="GL4" i="2"/>
  <c r="FR11" i="2"/>
  <c r="FZ11" i="2"/>
  <c r="GH11" i="2"/>
  <c r="CH61" i="2"/>
  <c r="FW5" i="3"/>
  <c r="GE5" i="3"/>
  <c r="CE6" i="3"/>
  <c r="GE6" i="3" s="1"/>
  <c r="FW9" i="3"/>
  <c r="FY11" i="3"/>
  <c r="FQ13" i="3"/>
  <c r="GO13" i="3"/>
  <c r="FY17" i="3"/>
  <c r="GC19" i="3"/>
  <c r="GC22" i="3"/>
  <c r="FW27" i="3"/>
  <c r="BS29" i="3"/>
  <c r="FS29" i="3" s="1"/>
  <c r="FS30" i="3"/>
  <c r="CA29" i="3"/>
  <c r="GA29" i="3" s="1"/>
  <c r="GA30" i="3"/>
  <c r="FY30" i="3"/>
  <c r="BQ29" i="3"/>
  <c r="BQ45" i="3" s="1"/>
  <c r="FQ31" i="3"/>
  <c r="FO31" i="3"/>
  <c r="GC32" i="3"/>
  <c r="FQ34" i="3"/>
  <c r="FU38" i="3"/>
  <c r="FY40" i="3"/>
  <c r="FO41" i="3"/>
  <c r="GC42" i="3"/>
  <c r="GO44" i="3"/>
  <c r="CK62" i="3"/>
  <c r="FW51" i="3"/>
  <c r="FQ56" i="3"/>
  <c r="FU58" i="3"/>
  <c r="TB5" i="10"/>
  <c r="TB32" i="10"/>
  <c r="TB31" i="10" s="1"/>
  <c r="TS5" i="10"/>
  <c r="TS32" i="10"/>
  <c r="QM33" i="10"/>
  <c r="QU33" i="10"/>
  <c r="RQ5" i="10"/>
  <c r="RQ33" i="10"/>
  <c r="QZ34" i="10"/>
  <c r="RJ34" i="10" s="1"/>
  <c r="RJ8" i="10"/>
  <c r="RM37" i="10"/>
  <c r="RM10" i="10"/>
  <c r="RW11" i="10"/>
  <c r="RU10" i="10"/>
  <c r="RU37" i="10"/>
  <c r="SQ37" i="10"/>
  <c r="TM37" i="10"/>
  <c r="TM10" i="10"/>
  <c r="TW11" i="10"/>
  <c r="TU10" i="10"/>
  <c r="TU37" i="10"/>
  <c r="TB38" i="10"/>
  <c r="TJ38" i="10" s="1"/>
  <c r="TB10" i="10"/>
  <c r="TJ12" i="10"/>
  <c r="TS38" i="10"/>
  <c r="TS10" i="10"/>
  <c r="TF40" i="10"/>
  <c r="TJ40" i="10" s="1"/>
  <c r="TF10" i="10"/>
  <c r="TJ14" i="10"/>
  <c r="RS43" i="10"/>
  <c r="RW17" i="10"/>
  <c r="QZ46" i="10"/>
  <c r="RJ20" i="10"/>
  <c r="SZ46" i="10"/>
  <c r="TJ46" i="10" s="1"/>
  <c r="TJ20" i="10"/>
  <c r="SF32" i="10"/>
  <c r="SF33" i="10"/>
  <c r="TM39" i="10"/>
  <c r="GO27" i="3"/>
  <c r="FW29" i="3"/>
  <c r="CE29" i="3"/>
  <c r="GE29" i="3" s="1"/>
  <c r="CC40" i="3"/>
  <c r="GK49" i="3"/>
  <c r="BY62" i="3"/>
  <c r="RS34" i="10"/>
  <c r="QB37" i="10"/>
  <c r="QO37" i="10"/>
  <c r="RO37" i="10"/>
  <c r="SB38" i="10"/>
  <c r="SF38" i="10"/>
  <c r="QB39" i="10"/>
  <c r="QO39" i="10"/>
  <c r="RO39" i="10"/>
  <c r="QS40" i="10"/>
  <c r="RJ43" i="10"/>
  <c r="RU43" i="10"/>
  <c r="PZ32" i="10"/>
  <c r="QH32" i="10"/>
  <c r="QQ32" i="10"/>
  <c r="PZ33" i="10"/>
  <c r="QH33" i="10"/>
  <c r="RZ33" i="10"/>
  <c r="PZ34" i="10"/>
  <c r="RM34" i="10"/>
  <c r="QM38" i="10"/>
  <c r="UH40" i="10"/>
  <c r="QS43" i="10"/>
  <c r="QO46" i="10"/>
  <c r="BX69" i="12"/>
  <c r="CF69" i="12"/>
  <c r="CN69" i="12"/>
  <c r="CV69" i="12"/>
  <c r="FY15" i="3"/>
  <c r="GO15" i="3"/>
  <c r="FW16" i="3"/>
  <c r="FU17" i="3"/>
  <c r="GC17" i="3"/>
  <c r="FY19" i="3"/>
  <c r="GO19" i="3"/>
  <c r="FQ22" i="3"/>
  <c r="FY22" i="3"/>
  <c r="GO22" i="3"/>
  <c r="FQ28" i="3"/>
  <c r="FY28" i="3"/>
  <c r="GO28" i="3"/>
  <c r="FU30" i="3"/>
  <c r="GC30" i="3"/>
  <c r="FQ32" i="3"/>
  <c r="FY32" i="3"/>
  <c r="GO32" i="3"/>
  <c r="FO33" i="3"/>
  <c r="FW33" i="3"/>
  <c r="FU34" i="3"/>
  <c r="GC34" i="3"/>
  <c r="FQ38" i="3"/>
  <c r="FY38" i="3"/>
  <c r="GO38" i="3"/>
  <c r="FO39" i="3"/>
  <c r="FW39" i="3"/>
  <c r="FQ42" i="3"/>
  <c r="FY42" i="3"/>
  <c r="GO42" i="3"/>
  <c r="FO43" i="3"/>
  <c r="FW43" i="3"/>
  <c r="GC44" i="3"/>
  <c r="FO49" i="3"/>
  <c r="FW49" i="3"/>
  <c r="FU50" i="3"/>
  <c r="GC50" i="3"/>
  <c r="FY52" i="3"/>
  <c r="GO52" i="3"/>
  <c r="FO53" i="3"/>
  <c r="FW53" i="3"/>
  <c r="FO55" i="3"/>
  <c r="FW55" i="3"/>
  <c r="FU56" i="3"/>
  <c r="GC56" i="3"/>
  <c r="FQ58" i="3"/>
  <c r="FY58" i="3"/>
  <c r="GO58" i="3"/>
  <c r="FO59" i="3"/>
  <c r="FW59" i="3"/>
  <c r="FU60" i="3"/>
  <c r="GC60" i="3"/>
  <c r="QW6" i="10"/>
  <c r="SF34" i="10"/>
  <c r="SO34" i="10"/>
  <c r="SW8" i="10"/>
  <c r="QB38" i="10"/>
  <c r="QO38" i="10"/>
  <c r="QW12" i="10"/>
  <c r="RW12" i="10"/>
  <c r="SO38" i="10"/>
  <c r="SW12" i="10"/>
  <c r="TW12" i="10"/>
  <c r="QQ39" i="10"/>
  <c r="RJ39" i="10"/>
  <c r="RZ39" i="10"/>
  <c r="SH39" i="10"/>
  <c r="SQ39" i="10"/>
  <c r="TJ39" i="10"/>
  <c r="QU40" i="10"/>
  <c r="QH40" i="10"/>
  <c r="SF40" i="10"/>
  <c r="SU40" i="10"/>
  <c r="QM46" i="10"/>
  <c r="RM46" i="10"/>
  <c r="RU46" i="10"/>
  <c r="SD46" i="10"/>
  <c r="SM46" i="10"/>
  <c r="SU46" i="10"/>
  <c r="QQ37" i="10"/>
  <c r="RZ37" i="10"/>
  <c r="QQ38" i="10"/>
  <c r="QD39" i="10"/>
  <c r="TO46" i="10"/>
  <c r="BS7" i="4"/>
  <c r="FS4" i="4"/>
  <c r="FS7" i="4" s="1"/>
  <c r="CA7" i="4"/>
  <c r="CA16" i="4" s="1"/>
  <c r="GA4" i="4"/>
  <c r="GA7" i="4" s="1"/>
  <c r="GG5" i="13"/>
  <c r="GO5" i="13"/>
  <c r="QW7" i="10"/>
  <c r="RW7" i="10"/>
  <c r="QW8" i="10"/>
  <c r="RO34" i="10"/>
  <c r="QS37" i="10"/>
  <c r="QF37" i="10"/>
  <c r="RS37" i="10"/>
  <c r="QS39" i="10"/>
  <c r="QF39" i="10"/>
  <c r="RJ13" i="10"/>
  <c r="RS39" i="10"/>
  <c r="TJ13" i="10"/>
  <c r="QW14" i="10"/>
  <c r="QH43" i="10"/>
  <c r="QU43" i="10"/>
  <c r="RJ17" i="10"/>
  <c r="TJ17" i="10"/>
  <c r="TU43" i="10"/>
  <c r="UH43" i="10"/>
  <c r="QW20" i="10"/>
  <c r="SW20" i="10"/>
  <c r="BT51" i="12"/>
  <c r="BT55" i="12" s="1"/>
  <c r="CB51" i="12"/>
  <c r="CB55" i="12" s="1"/>
  <c r="CJ51" i="12"/>
  <c r="CJ55" i="12" s="1"/>
  <c r="CR51" i="12"/>
  <c r="CR55" i="12" s="1"/>
  <c r="CZ51" i="12"/>
  <c r="CZ55" i="12" s="1"/>
  <c r="BV51" i="12"/>
  <c r="BV55" i="12" s="1"/>
  <c r="CD51" i="12"/>
  <c r="CD55" i="12" s="1"/>
  <c r="CL51" i="12"/>
  <c r="CL55" i="12" s="1"/>
  <c r="CT51" i="12"/>
  <c r="CT55" i="12" s="1"/>
  <c r="DB51" i="12"/>
  <c r="DB55" i="12" s="1"/>
  <c r="FQ39" i="4"/>
  <c r="FO39" i="4"/>
  <c r="CJ69" i="12"/>
  <c r="CR69" i="12"/>
  <c r="CZ69" i="12"/>
  <c r="BV60" i="12"/>
  <c r="BV69" i="12" s="1"/>
  <c r="CD60" i="12"/>
  <c r="CD69" i="12" s="1"/>
  <c r="CH85" i="12"/>
  <c r="CP85" i="12"/>
  <c r="CX85" i="12"/>
  <c r="GE5" i="4"/>
  <c r="CE7" i="4"/>
  <c r="CE16" i="4" s="1"/>
  <c r="GC5" i="4"/>
  <c r="FW12" i="4"/>
  <c r="FU12" i="4"/>
  <c r="GK19" i="13"/>
  <c r="CK6" i="13"/>
  <c r="CL69" i="12"/>
  <c r="CT69" i="12"/>
  <c r="DB69" i="12"/>
  <c r="GA10" i="4"/>
  <c r="FY10" i="4"/>
  <c r="BS6" i="13"/>
  <c r="FS6" i="13" s="1"/>
  <c r="FS9" i="13"/>
  <c r="CA6" i="13"/>
  <c r="GA6" i="13" s="1"/>
  <c r="GA9" i="13"/>
  <c r="CI6" i="13"/>
  <c r="GI6" i="13" s="1"/>
  <c r="GI9" i="13"/>
  <c r="CQ6" i="13"/>
  <c r="GQ6" i="13" s="1"/>
  <c r="GQ9" i="13"/>
  <c r="BW6" i="13"/>
  <c r="GE10" i="13"/>
  <c r="CE6" i="13"/>
  <c r="CE22" i="13" s="1"/>
  <c r="GM10" i="13"/>
  <c r="CM6" i="13"/>
  <c r="CM22" i="13" s="1"/>
  <c r="GU10" i="13"/>
  <c r="CU6" i="13"/>
  <c r="CU22" i="13" s="1"/>
  <c r="DB85" i="12"/>
  <c r="BT74" i="12"/>
  <c r="BT85" i="12" s="1"/>
  <c r="CB74" i="12"/>
  <c r="CB85" i="12" s="1"/>
  <c r="BY7" i="4"/>
  <c r="BY16" i="4" s="1"/>
  <c r="FY4" i="4"/>
  <c r="FW4" i="4"/>
  <c r="CG7" i="4"/>
  <c r="CG16" i="4" s="1"/>
  <c r="FY11" i="4"/>
  <c r="FW11" i="4"/>
  <c r="FW14" i="4"/>
  <c r="FU14" i="4"/>
  <c r="FQ54" i="13"/>
  <c r="FO54" i="13"/>
  <c r="FQ56" i="13"/>
  <c r="FO56" i="13"/>
  <c r="GE19" i="4"/>
  <c r="GG7" i="13"/>
  <c r="CG6" i="13"/>
  <c r="GO7" i="13"/>
  <c r="CO6" i="13"/>
  <c r="CW6" i="13"/>
  <c r="CW22" i="13" s="1"/>
  <c r="GG18" i="13"/>
  <c r="GE18" i="13"/>
  <c r="GO18" i="13"/>
  <c r="GM18" i="13"/>
  <c r="FQ26" i="13"/>
  <c r="FO26" i="13"/>
  <c r="GG26" i="13"/>
  <c r="GO26" i="13"/>
  <c r="FQ38" i="13"/>
  <c r="FO38" i="13"/>
  <c r="CC43" i="4"/>
  <c r="GE5" i="13"/>
  <c r="GM5" i="13"/>
  <c r="GU5" i="13"/>
  <c r="FQ9" i="13"/>
  <c r="GG9" i="13"/>
  <c r="GO9" i="13"/>
  <c r="FU10" i="13"/>
  <c r="GC10" i="13"/>
  <c r="GK10" i="13"/>
  <c r="GS10" i="13"/>
  <c r="GK12" i="13"/>
  <c r="CC61" i="13"/>
  <c r="FO10" i="13"/>
  <c r="FO12" i="13"/>
  <c r="FQ13" i="13"/>
  <c r="GE16" i="13"/>
  <c r="FQ32" i="13"/>
  <c r="FO32" i="13"/>
  <c r="CA39" i="13"/>
  <c r="GA39" i="13" s="1"/>
  <c r="GA40" i="13"/>
  <c r="CI39" i="13"/>
  <c r="GI39" i="13" s="1"/>
  <c r="GI40" i="13"/>
  <c r="CQ39" i="13"/>
  <c r="GQ40" i="13"/>
  <c r="FW41" i="13"/>
  <c r="BW39" i="13"/>
  <c r="GE41" i="13"/>
  <c r="CE39" i="13"/>
  <c r="GM41" i="13"/>
  <c r="CM39" i="13"/>
  <c r="GM39" i="13" s="1"/>
  <c r="FS5" i="13"/>
  <c r="GA5" i="13"/>
  <c r="GI5" i="13"/>
  <c r="GQ5" i="13"/>
  <c r="FU13" i="13"/>
  <c r="GC13" i="13"/>
  <c r="GK13" i="13"/>
  <c r="GS13" i="13"/>
  <c r="GE14" i="13"/>
  <c r="FQ21" i="13"/>
  <c r="FO21" i="13"/>
  <c r="GE21" i="13"/>
  <c r="GM21" i="13"/>
  <c r="GU21" i="13"/>
  <c r="FU29" i="13"/>
  <c r="BU28" i="13"/>
  <c r="GC29" i="13"/>
  <c r="CC28" i="13"/>
  <c r="GK29" i="13"/>
  <c r="CK28" i="13"/>
  <c r="FQ30" i="13"/>
  <c r="FO30" i="13"/>
  <c r="FW38" i="13"/>
  <c r="GE38" i="13"/>
  <c r="GM38" i="13"/>
  <c r="GU38" i="13"/>
  <c r="BW61" i="13"/>
  <c r="CE61" i="13"/>
  <c r="GE48" i="13"/>
  <c r="CM61" i="13"/>
  <c r="GM48" i="13"/>
  <c r="CU61" i="13"/>
  <c r="GU48" i="13"/>
  <c r="GE26" i="13"/>
  <c r="GM26" i="13"/>
  <c r="GU26" i="13"/>
  <c r="BS28" i="13"/>
  <c r="BS44" i="13" s="1"/>
  <c r="CA28" i="13"/>
  <c r="CI28" i="13"/>
  <c r="CQ28" i="13"/>
  <c r="FY40" i="13"/>
  <c r="GG40" i="13"/>
  <c r="CG61" i="13"/>
  <c r="CO61" i="13"/>
  <c r="CW61" i="13"/>
  <c r="FU48" i="13"/>
  <c r="GK48" i="13"/>
  <c r="GS48" i="13"/>
  <c r="BS61" i="13"/>
  <c r="CA61" i="13"/>
  <c r="CI61" i="13"/>
  <c r="CQ61" i="13"/>
  <c r="FO48" i="13"/>
  <c r="GO55" i="13"/>
  <c r="FQ60" i="13"/>
  <c r="FO60" i="13"/>
  <c r="GE54" i="13"/>
  <c r="GM54" i="13"/>
  <c r="GU54" i="13"/>
  <c r="FU54" i="13"/>
  <c r="GK54" i="13"/>
  <c r="GE56" i="13"/>
  <c r="GM56" i="13"/>
  <c r="GU56" i="13"/>
  <c r="FQ58" i="13"/>
  <c r="FO58" i="13"/>
  <c r="YF19" i="10" l="1"/>
  <c r="YF22" i="10" s="1"/>
  <c r="F17" i="9"/>
  <c r="F20" i="9" s="1"/>
  <c r="CN73" i="2"/>
  <c r="CU48" i="4"/>
  <c r="CU49" i="4" s="1"/>
  <c r="CT92" i="1"/>
  <c r="GK16" i="4"/>
  <c r="GK23" i="4" s="1"/>
  <c r="GK27" i="4" s="1"/>
  <c r="GK32" i="4" s="1"/>
  <c r="GK45" i="4" s="1"/>
  <c r="D40" i="9"/>
  <c r="D43" i="9" s="1"/>
  <c r="F40" i="9"/>
  <c r="F43" i="9" s="1"/>
  <c r="GL7" i="2"/>
  <c r="GL73" i="2" s="1"/>
  <c r="CR92" i="1"/>
  <c r="XU45" i="10"/>
  <c r="XU48" i="10" s="1"/>
  <c r="F65" i="9"/>
  <c r="F68" i="9" s="1"/>
  <c r="CJ41" i="1"/>
  <c r="UW38" i="10"/>
  <c r="VF36" i="10"/>
  <c r="OD45" i="10"/>
  <c r="OD48" i="10" s="1"/>
  <c r="UB19" i="10"/>
  <c r="UB22" i="10" s="1"/>
  <c r="XW19" i="10"/>
  <c r="XW22" i="10" s="1"/>
  <c r="GS16" i="4"/>
  <c r="GS23" i="4" s="1"/>
  <c r="XF45" i="10"/>
  <c r="XF48" i="10" s="1"/>
  <c r="D65" i="9"/>
  <c r="D68" i="9" s="1"/>
  <c r="WB45" i="10"/>
  <c r="WB48" i="10" s="1"/>
  <c r="CP92" i="1"/>
  <c r="H40" i="9"/>
  <c r="H43" i="9" s="1"/>
  <c r="D114" i="9"/>
  <c r="D117" i="9" s="1"/>
  <c r="WD45" i="10"/>
  <c r="WD48" i="10" s="1"/>
  <c r="PD45" i="10"/>
  <c r="PD48" i="10" s="1"/>
  <c r="YD19" i="10"/>
  <c r="YD22" i="10" s="1"/>
  <c r="VQ45" i="10"/>
  <c r="VQ48" i="10" s="1"/>
  <c r="UW40" i="10"/>
  <c r="WW43" i="10"/>
  <c r="US36" i="10"/>
  <c r="US45" i="10" s="1"/>
  <c r="US48" i="10" s="1"/>
  <c r="WW46" i="10"/>
  <c r="XS45" i="10"/>
  <c r="XS48" i="10" s="1"/>
  <c r="VF31" i="10"/>
  <c r="WJ40" i="10"/>
  <c r="XQ45" i="10"/>
  <c r="XQ48" i="10" s="1"/>
  <c r="WS36" i="10"/>
  <c r="WS45" i="10" s="1"/>
  <c r="WS48" i="10" s="1"/>
  <c r="VB36" i="10"/>
  <c r="VB45" i="10" s="1"/>
  <c r="VB48" i="10" s="1"/>
  <c r="VJ39" i="10"/>
  <c r="UD19" i="10"/>
  <c r="UD22" i="10" s="1"/>
  <c r="CR22" i="2"/>
  <c r="CR29" i="2" s="1"/>
  <c r="GJ22" i="2"/>
  <c r="GQ16" i="4"/>
  <c r="GQ23" i="4" s="1"/>
  <c r="CQ48" i="4"/>
  <c r="CQ49" i="4" s="1"/>
  <c r="GV7" i="2"/>
  <c r="GV73" i="2" s="1"/>
  <c r="CJ88" i="1"/>
  <c r="CJ90" i="1" s="1"/>
  <c r="GT7" i="2"/>
  <c r="GT73" i="2" s="1"/>
  <c r="CP22" i="2"/>
  <c r="CP29" i="2" s="1"/>
  <c r="CP33" i="2" s="1"/>
  <c r="CP38" i="2" s="1"/>
  <c r="CP73" i="2"/>
  <c r="CV41" i="12"/>
  <c r="D90" i="9"/>
  <c r="D93" i="9" s="1"/>
  <c r="F114" i="9"/>
  <c r="F117" i="9" s="1"/>
  <c r="F90" i="9"/>
  <c r="F93" i="9" s="1"/>
  <c r="J90" i="9"/>
  <c r="J93" i="9" s="1"/>
  <c r="J114" i="9"/>
  <c r="J117" i="9" s="1"/>
  <c r="H114" i="9"/>
  <c r="H117" i="9" s="1"/>
  <c r="FJ73" i="2"/>
  <c r="GG7" i="4"/>
  <c r="FH22" i="2"/>
  <c r="FH29" i="2" s="1"/>
  <c r="FH33" i="2" s="1"/>
  <c r="FH38" i="2" s="1"/>
  <c r="FG16" i="4"/>
  <c r="FH73" i="2"/>
  <c r="L102" i="9"/>
  <c r="J10" i="9"/>
  <c r="WW38" i="10"/>
  <c r="WW40" i="10"/>
  <c r="CK48" i="4"/>
  <c r="CK49" i="4" s="1"/>
  <c r="FJ22" i="2"/>
  <c r="FJ29" i="2" s="1"/>
  <c r="FJ33" i="2" s="1"/>
  <c r="FJ38" i="2" s="1"/>
  <c r="FJ59" i="2" s="1"/>
  <c r="TW39" i="10"/>
  <c r="FI16" i="4"/>
  <c r="FI23" i="4" s="1"/>
  <c r="UQ31" i="10"/>
  <c r="UQ45" i="10" s="1"/>
  <c r="UQ48" i="10" s="1"/>
  <c r="VJ40" i="10"/>
  <c r="YH19" i="10"/>
  <c r="YH22" i="10" s="1"/>
  <c r="CV92" i="1"/>
  <c r="VW38" i="10"/>
  <c r="VD31" i="10"/>
  <c r="VD45" i="10" s="1"/>
  <c r="VD48" i="10" s="1"/>
  <c r="UO36" i="10"/>
  <c r="UO45" i="10" s="1"/>
  <c r="UO48" i="10" s="1"/>
  <c r="J33" i="9"/>
  <c r="XB36" i="10"/>
  <c r="XB45" i="10" s="1"/>
  <c r="XB48" i="10" s="1"/>
  <c r="VJ33" i="10"/>
  <c r="UW39" i="10"/>
  <c r="TW40" i="10"/>
  <c r="WO36" i="10"/>
  <c r="WO45" i="10" s="1"/>
  <c r="WO48" i="10" s="1"/>
  <c r="OQ45" i="10"/>
  <c r="OQ48" i="10" s="1"/>
  <c r="UB45" i="10"/>
  <c r="UB48" i="10" s="1"/>
  <c r="UW46" i="10"/>
  <c r="YJ10" i="10"/>
  <c r="BL92" i="1"/>
  <c r="GN7" i="2"/>
  <c r="GR20" i="2"/>
  <c r="GR22" i="2" s="1"/>
  <c r="GR29" i="2" s="1"/>
  <c r="L83" i="9"/>
  <c r="TM31" i="10"/>
  <c r="TU31" i="10"/>
  <c r="CM45" i="4"/>
  <c r="VS31" i="10"/>
  <c r="CM48" i="4"/>
  <c r="CM49" i="4" s="1"/>
  <c r="FL73" i="2"/>
  <c r="GI27" i="4"/>
  <c r="GI32" i="4" s="1"/>
  <c r="GI45" i="4" s="1"/>
  <c r="GS23" i="3"/>
  <c r="CS64" i="3"/>
  <c r="UW32" i="10"/>
  <c r="UM31" i="10"/>
  <c r="VJ43" i="10"/>
  <c r="WZ31" i="10"/>
  <c r="XJ32" i="10"/>
  <c r="UH19" i="10"/>
  <c r="UH22" i="10" s="1"/>
  <c r="FK16" i="4"/>
  <c r="FK23" i="4" s="1"/>
  <c r="GP7" i="2"/>
  <c r="B65" i="9"/>
  <c r="B68" i="9" s="1"/>
  <c r="J53" i="9"/>
  <c r="WW32" i="10"/>
  <c r="WM31" i="10"/>
  <c r="J5" i="9"/>
  <c r="B17" i="9"/>
  <c r="B20" i="9" s="1"/>
  <c r="CW45" i="4"/>
  <c r="VU34" i="10"/>
  <c r="VU31" i="10" s="1"/>
  <c r="WH34" i="10"/>
  <c r="WH5" i="10"/>
  <c r="WH19" i="10" s="1"/>
  <c r="WH22" i="10" s="1"/>
  <c r="WU36" i="10"/>
  <c r="WU45" i="10" s="1"/>
  <c r="WU48" i="10" s="1"/>
  <c r="XM45" i="10"/>
  <c r="XM48" i="10" s="1"/>
  <c r="XW31" i="10"/>
  <c r="GU27" i="4"/>
  <c r="GU32" i="4" s="1"/>
  <c r="XJ34" i="10"/>
  <c r="CX92" i="1"/>
  <c r="GV20" i="2"/>
  <c r="CI23" i="4"/>
  <c r="CI57" i="4"/>
  <c r="GI57" i="4" s="1"/>
  <c r="VJ34" i="10"/>
  <c r="WZ36" i="10"/>
  <c r="XJ37" i="10"/>
  <c r="B40" i="9"/>
  <c r="B43" i="9" s="1"/>
  <c r="J28" i="9"/>
  <c r="XH36" i="10"/>
  <c r="XH45" i="10" s="1"/>
  <c r="XH48" i="10" s="1"/>
  <c r="VW37" i="10"/>
  <c r="VM36" i="10"/>
  <c r="VM45" i="10" s="1"/>
  <c r="VM48" i="10" s="1"/>
  <c r="UD36" i="10"/>
  <c r="TQ31" i="10"/>
  <c r="GQ27" i="4"/>
  <c r="GQ32" i="4" s="1"/>
  <c r="XD31" i="10"/>
  <c r="XD45" i="10" s="1"/>
  <c r="XD48" i="10" s="1"/>
  <c r="GO27" i="4"/>
  <c r="GO32" i="4" s="1"/>
  <c r="GO45" i="4" s="1"/>
  <c r="WM36" i="10"/>
  <c r="WW37" i="10"/>
  <c r="XW36" i="10"/>
  <c r="WH36" i="10"/>
  <c r="VZ19" i="10"/>
  <c r="VZ22" i="10" s="1"/>
  <c r="WJ37" i="10"/>
  <c r="VZ36" i="10"/>
  <c r="H90" i="9"/>
  <c r="H93" i="9" s="1"/>
  <c r="WJ10" i="10"/>
  <c r="WQ31" i="10"/>
  <c r="WQ45" i="10" s="1"/>
  <c r="WQ48" i="10" s="1"/>
  <c r="UU36" i="10"/>
  <c r="UU45" i="10" s="1"/>
  <c r="UU48" i="10" s="1"/>
  <c r="YJ5" i="10"/>
  <c r="XZ19" i="10"/>
  <c r="XZ22" i="10" s="1"/>
  <c r="CU45" i="4"/>
  <c r="XJ46" i="10"/>
  <c r="VU36" i="10"/>
  <c r="CQ45" i="4"/>
  <c r="J58" i="9"/>
  <c r="WJ46" i="10"/>
  <c r="CW48" i="4"/>
  <c r="CW49" i="4" s="1"/>
  <c r="BN94" i="12"/>
  <c r="BL93" i="12"/>
  <c r="PB45" i="10"/>
  <c r="GN20" i="2"/>
  <c r="UD31" i="10"/>
  <c r="CX41" i="12"/>
  <c r="VJ46" i="10"/>
  <c r="XJ39" i="10"/>
  <c r="VW40" i="10"/>
  <c r="VH36" i="10"/>
  <c r="VH45" i="10" s="1"/>
  <c r="VH48" i="10" s="1"/>
  <c r="WF19" i="10"/>
  <c r="WF22" i="10" s="1"/>
  <c r="GM27" i="4"/>
  <c r="GM32" i="4" s="1"/>
  <c r="GM45" i="4" s="1"/>
  <c r="GU23" i="3"/>
  <c r="CU64" i="3"/>
  <c r="WF36" i="10"/>
  <c r="WF45" i="10" s="1"/>
  <c r="WF48" i="10" s="1"/>
  <c r="VW46" i="10"/>
  <c r="UZ36" i="10"/>
  <c r="VJ37" i="10"/>
  <c r="CM64" i="3"/>
  <c r="GM23" i="3"/>
  <c r="CS45" i="4"/>
  <c r="WW34" i="10"/>
  <c r="GT20" i="2"/>
  <c r="TQ36" i="10"/>
  <c r="WW39" i="10"/>
  <c r="WJ32" i="10"/>
  <c r="VZ31" i="10"/>
  <c r="VS36" i="10"/>
  <c r="VJ32" i="10"/>
  <c r="UZ31" i="10"/>
  <c r="CO45" i="4"/>
  <c r="UM36" i="10"/>
  <c r="UW37" i="10"/>
  <c r="PJ19" i="10"/>
  <c r="PJ22" i="10" s="1"/>
  <c r="BN95" i="1"/>
  <c r="BL94" i="1"/>
  <c r="OM45" i="10"/>
  <c r="OM48" i="10" s="1"/>
  <c r="TW46" i="10"/>
  <c r="TW33" i="10"/>
  <c r="TO36" i="10"/>
  <c r="TS31" i="10"/>
  <c r="TZ31" i="10"/>
  <c r="UJ32" i="10"/>
  <c r="UJ5" i="10"/>
  <c r="TZ19" i="10"/>
  <c r="TZ22" i="10" s="1"/>
  <c r="TW34" i="10"/>
  <c r="GH7" i="2"/>
  <c r="GH73" i="2" s="1"/>
  <c r="GR73" i="2"/>
  <c r="GJ73" i="2"/>
  <c r="CL57" i="2"/>
  <c r="CN33" i="2"/>
  <c r="CN38" i="2" s="1"/>
  <c r="CN75" i="2"/>
  <c r="GH20" i="2"/>
  <c r="GL20" i="2"/>
  <c r="CT73" i="2"/>
  <c r="CT22" i="2"/>
  <c r="CT29" i="2" s="1"/>
  <c r="CJ22" i="2"/>
  <c r="CJ29" i="2" s="1"/>
  <c r="CJ73" i="2"/>
  <c r="GP20" i="2"/>
  <c r="CL22" i="2"/>
  <c r="CL29" i="2" s="1"/>
  <c r="CX73" i="2"/>
  <c r="CX22" i="2"/>
  <c r="CX29" i="2" s="1"/>
  <c r="CV73" i="2"/>
  <c r="CV22" i="2"/>
  <c r="CV29" i="2" s="1"/>
  <c r="BU22" i="13"/>
  <c r="FU6" i="13"/>
  <c r="FN73" i="2"/>
  <c r="FL22" i="2"/>
  <c r="FL29" i="2" s="1"/>
  <c r="FL33" i="2" s="1"/>
  <c r="FL38" i="2" s="1"/>
  <c r="FL59" i="2" s="1"/>
  <c r="OZ45" i="10"/>
  <c r="OZ48" i="10" s="1"/>
  <c r="FM16" i="4"/>
  <c r="FM23" i="4" s="1"/>
  <c r="FM27" i="4" s="1"/>
  <c r="FM32" i="4" s="1"/>
  <c r="FM45" i="4" s="1"/>
  <c r="FR61" i="2"/>
  <c r="FS47" i="4"/>
  <c r="RJ46" i="10"/>
  <c r="PO45" i="10"/>
  <c r="PQ45" i="10"/>
  <c r="PQ48" i="10" s="1"/>
  <c r="FN22" i="2"/>
  <c r="FN29" i="2" s="1"/>
  <c r="BT22" i="2"/>
  <c r="BT29" i="2" s="1"/>
  <c r="BT33" i="2" s="1"/>
  <c r="BT38" i="2" s="1"/>
  <c r="BR73" i="2"/>
  <c r="PM45" i="10"/>
  <c r="PM48" i="10" s="1"/>
  <c r="CZ22" i="2"/>
  <c r="CZ29" i="2" s="1"/>
  <c r="CF41" i="12"/>
  <c r="CT87" i="12"/>
  <c r="CT89" i="12" s="1"/>
  <c r="RW40" i="10"/>
  <c r="CF88" i="1"/>
  <c r="CF90" i="1" s="1"/>
  <c r="FQ40" i="3"/>
  <c r="CY45" i="3"/>
  <c r="CY64" i="3" s="1"/>
  <c r="SZ19" i="10"/>
  <c r="SZ22" i="10" s="1"/>
  <c r="DA45" i="3"/>
  <c r="DA64" i="3" s="1"/>
  <c r="CE45" i="3"/>
  <c r="GE45" i="3" s="1"/>
  <c r="CC45" i="3"/>
  <c r="SW43" i="10"/>
  <c r="FW45" i="3"/>
  <c r="CA45" i="3"/>
  <c r="GA45" i="3" s="1"/>
  <c r="BS45" i="3"/>
  <c r="FS45" i="3" s="1"/>
  <c r="BW44" i="13"/>
  <c r="CY45" i="4"/>
  <c r="RD19" i="10"/>
  <c r="RD22" i="10" s="1"/>
  <c r="BU45" i="3"/>
  <c r="GK62" i="3"/>
  <c r="GK45" i="3"/>
  <c r="GU66" i="3"/>
  <c r="CW70" i="3"/>
  <c r="CO70" i="3"/>
  <c r="GM66" i="3"/>
  <c r="GA62" i="3"/>
  <c r="FS62" i="3"/>
  <c r="BX41" i="12"/>
  <c r="CT41" i="12"/>
  <c r="FY7" i="4"/>
  <c r="FY16" i="4" s="1"/>
  <c r="FY23" i="4" s="1"/>
  <c r="BZ41" i="1"/>
  <c r="CZ88" i="1"/>
  <c r="CZ90" i="1" s="1"/>
  <c r="CZ41" i="12"/>
  <c r="DA45" i="4"/>
  <c r="CJ41" i="12"/>
  <c r="GO6" i="3"/>
  <c r="CR41" i="12"/>
  <c r="CL73" i="2"/>
  <c r="VW32" i="10"/>
  <c r="SQ31" i="10"/>
  <c r="GI61" i="13"/>
  <c r="CA44" i="13"/>
  <c r="GQ61" i="13"/>
  <c r="GA61" i="13"/>
  <c r="FS61" i="13"/>
  <c r="FR7" i="2"/>
  <c r="CB41" i="12"/>
  <c r="BV87" i="12"/>
  <c r="BV89" i="12" s="1"/>
  <c r="FO28" i="13"/>
  <c r="CF22" i="2"/>
  <c r="CF29" i="2" s="1"/>
  <c r="CF33" i="2" s="1"/>
  <c r="CF38" i="2" s="1"/>
  <c r="CF59" i="2" s="1"/>
  <c r="SD36" i="10"/>
  <c r="FX7" i="2"/>
  <c r="CH41" i="12"/>
  <c r="CL41" i="12"/>
  <c r="BW23" i="4"/>
  <c r="UJ43" i="10"/>
  <c r="FS16" i="4"/>
  <c r="FS23" i="4" s="1"/>
  <c r="FS27" i="4" s="1"/>
  <c r="FS32" i="4" s="1"/>
  <c r="FV20" i="2"/>
  <c r="GC6" i="3"/>
  <c r="CB22" i="2"/>
  <c r="CB29" i="2" s="1"/>
  <c r="RD45" i="10"/>
  <c r="RD48" i="10" s="1"/>
  <c r="CX87" i="12"/>
  <c r="CX89" i="12" s="1"/>
  <c r="CV87" i="12"/>
  <c r="CV89" i="12" s="1"/>
  <c r="CS44" i="13"/>
  <c r="CS63" i="13" s="1"/>
  <c r="SS31" i="10"/>
  <c r="CH87" i="12"/>
  <c r="CH89" i="12" s="1"/>
  <c r="DB22" i="2"/>
  <c r="DB29" i="2" s="1"/>
  <c r="DB33" i="2" s="1"/>
  <c r="DB38" i="2" s="1"/>
  <c r="CL87" i="12"/>
  <c r="CL89" i="12" s="1"/>
  <c r="CJ87" i="12"/>
  <c r="CJ89" i="12" s="1"/>
  <c r="FU28" i="13"/>
  <c r="TF19" i="10"/>
  <c r="TF22" i="10" s="1"/>
  <c r="SJ43" i="10"/>
  <c r="FT20" i="2"/>
  <c r="CL88" i="1"/>
  <c r="CL90" i="1" s="1"/>
  <c r="BT87" i="12"/>
  <c r="BT89" i="12" s="1"/>
  <c r="BT91" i="12" s="1"/>
  <c r="FX20" i="2"/>
  <c r="RO19" i="10"/>
  <c r="RO22" i="10" s="1"/>
  <c r="GU61" i="13"/>
  <c r="CW63" i="13"/>
  <c r="GU28" i="13"/>
  <c r="CU44" i="13"/>
  <c r="BT88" i="1"/>
  <c r="BT90" i="1" s="1"/>
  <c r="CZ87" i="12"/>
  <c r="CZ89" i="12" s="1"/>
  <c r="CF41" i="1"/>
  <c r="TH19" i="10"/>
  <c r="TH22" i="10" s="1"/>
  <c r="GO28" i="13"/>
  <c r="RQ31" i="10"/>
  <c r="UJ10" i="10"/>
  <c r="GF7" i="2"/>
  <c r="BX87" i="12"/>
  <c r="BX89" i="12" s="1"/>
  <c r="CQ23" i="3"/>
  <c r="CQ64" i="3" s="1"/>
  <c r="CB88" i="1"/>
  <c r="CB90" i="1" s="1"/>
  <c r="TH45" i="10"/>
  <c r="TH48" i="10" s="1"/>
  <c r="BU57" i="4"/>
  <c r="FU57" i="4" s="1"/>
  <c r="CN41" i="12"/>
  <c r="QU31" i="10"/>
  <c r="RF19" i="10"/>
  <c r="RF22" i="10" s="1"/>
  <c r="CA23" i="3"/>
  <c r="GA23" i="3" s="1"/>
  <c r="BZ87" i="12"/>
  <c r="BZ89" i="12" s="1"/>
  <c r="GG6" i="13"/>
  <c r="DB41" i="12"/>
  <c r="CF87" i="12"/>
  <c r="CF89" i="12" s="1"/>
  <c r="BZ88" i="1"/>
  <c r="BZ90" i="1" s="1"/>
  <c r="FU61" i="13"/>
  <c r="CI22" i="13"/>
  <c r="BZ73" i="2"/>
  <c r="BZ22" i="2"/>
  <c r="BZ29" i="2" s="1"/>
  <c r="BZ33" i="2" s="1"/>
  <c r="BZ38" i="2" s="1"/>
  <c r="BV41" i="12"/>
  <c r="TO31" i="10"/>
  <c r="SM31" i="10"/>
  <c r="RM19" i="10"/>
  <c r="RM22" i="10" s="1"/>
  <c r="CH41" i="1"/>
  <c r="RW5" i="10"/>
  <c r="FO43" i="4"/>
  <c r="RQ19" i="10"/>
  <c r="RQ22" i="10" s="1"/>
  <c r="FW6" i="3"/>
  <c r="RW43" i="10"/>
  <c r="SO31" i="10"/>
  <c r="CD22" i="2"/>
  <c r="CD29" i="2" s="1"/>
  <c r="CH22" i="2"/>
  <c r="CH29" i="2" s="1"/>
  <c r="CH33" i="2" s="1"/>
  <c r="CH38" i="2" s="1"/>
  <c r="QO19" i="10"/>
  <c r="QO22" i="10" s="1"/>
  <c r="SH31" i="10"/>
  <c r="CP41" i="12"/>
  <c r="FU7" i="4"/>
  <c r="GE39" i="13"/>
  <c r="GE28" i="13"/>
  <c r="BR87" i="12"/>
  <c r="BR89" i="12" s="1"/>
  <c r="QF31" i="10"/>
  <c r="CD87" i="12"/>
  <c r="CD89" i="12" s="1"/>
  <c r="QQ19" i="10"/>
  <c r="QQ22" i="10" s="1"/>
  <c r="SS36" i="10"/>
  <c r="SQ19" i="10"/>
  <c r="SQ22" i="10" s="1"/>
  <c r="CG44" i="13"/>
  <c r="FW39" i="13"/>
  <c r="CO44" i="13"/>
  <c r="SJ40" i="10"/>
  <c r="GM28" i="13"/>
  <c r="SJ34" i="10"/>
  <c r="TM19" i="10"/>
  <c r="TM22" i="10" s="1"/>
  <c r="CC57" i="4"/>
  <c r="BR22" i="2"/>
  <c r="BR29" i="2" s="1"/>
  <c r="RU19" i="10"/>
  <c r="RU22" i="10" s="1"/>
  <c r="GC7" i="4"/>
  <c r="QW5" i="10"/>
  <c r="SD31" i="10"/>
  <c r="SW33" i="10"/>
  <c r="RW32" i="10"/>
  <c r="RU31" i="10"/>
  <c r="CH88" i="1"/>
  <c r="CH90" i="1" s="1"/>
  <c r="SH36" i="10"/>
  <c r="CC23" i="3"/>
  <c r="FP73" i="2"/>
  <c r="SU31" i="10"/>
  <c r="SJ38" i="10"/>
  <c r="GE7" i="4"/>
  <c r="TW38" i="10"/>
  <c r="SJ32" i="10"/>
  <c r="CD41" i="1"/>
  <c r="SO19" i="10"/>
  <c r="SO22" i="10" s="1"/>
  <c r="GM6" i="13"/>
  <c r="CP87" i="12"/>
  <c r="CP89" i="12" s="1"/>
  <c r="FQ43" i="4"/>
  <c r="GD7" i="2"/>
  <c r="SW32" i="10"/>
  <c r="TW5" i="10"/>
  <c r="QO31" i="10"/>
  <c r="SU19" i="10"/>
  <c r="SU22" i="10" s="1"/>
  <c r="BR41" i="12"/>
  <c r="FP22" i="2"/>
  <c r="FP29" i="2" s="1"/>
  <c r="FP33" i="2" s="1"/>
  <c r="FP38" i="2" s="1"/>
  <c r="RW38" i="10"/>
  <c r="TQ19" i="10"/>
  <c r="TQ22" i="10" s="1"/>
  <c r="BX22" i="2"/>
  <c r="BX29" i="2" s="1"/>
  <c r="GK28" i="13"/>
  <c r="CM44" i="13"/>
  <c r="CY48" i="4"/>
  <c r="CY49" i="4" s="1"/>
  <c r="QD36" i="10"/>
  <c r="UF19" i="10"/>
  <c r="UF22" i="10" s="1"/>
  <c r="RH45" i="10"/>
  <c r="RH48" i="10" s="1"/>
  <c r="QU19" i="10"/>
  <c r="QU22" i="10" s="1"/>
  <c r="BR41" i="1"/>
  <c r="CF73" i="2"/>
  <c r="CE44" i="13"/>
  <c r="CQ22" i="13"/>
  <c r="GO6" i="13"/>
  <c r="FW7" i="4"/>
  <c r="CR87" i="12"/>
  <c r="CR89" i="12" s="1"/>
  <c r="SO36" i="10"/>
  <c r="CN87" i="12"/>
  <c r="CN89" i="12" s="1"/>
  <c r="TJ10" i="10"/>
  <c r="CE23" i="3"/>
  <c r="GE23" i="3" s="1"/>
  <c r="RH19" i="10"/>
  <c r="RH22" i="10" s="1"/>
  <c r="GD20" i="2"/>
  <c r="BX73" i="2"/>
  <c r="VO45" i="10"/>
  <c r="VO48" i="10" s="1"/>
  <c r="GC28" i="13"/>
  <c r="CA22" i="13"/>
  <c r="GC40" i="3"/>
  <c r="QD31" i="10"/>
  <c r="RW39" i="10"/>
  <c r="TU36" i="10"/>
  <c r="QW33" i="10"/>
  <c r="TW43" i="10"/>
  <c r="SS19" i="10"/>
  <c r="SS22" i="10" s="1"/>
  <c r="TJ33" i="10"/>
  <c r="CK44" i="13"/>
  <c r="QW46" i="10"/>
  <c r="SJ39" i="10"/>
  <c r="QW43" i="10"/>
  <c r="QJ33" i="10"/>
  <c r="QO36" i="10"/>
  <c r="SF31" i="10"/>
  <c r="TU19" i="10"/>
  <c r="TU22" i="10" s="1"/>
  <c r="FZ20" i="2"/>
  <c r="TD45" i="10"/>
  <c r="TD48" i="10" s="1"/>
  <c r="FW62" i="3"/>
  <c r="FY29" i="3"/>
  <c r="FZ7" i="2"/>
  <c r="CD88" i="1"/>
  <c r="CD90" i="1" s="1"/>
  <c r="CL41" i="1"/>
  <c r="TO19" i="10"/>
  <c r="TO22" i="10" s="1"/>
  <c r="BZ41" i="12"/>
  <c r="FY62" i="3"/>
  <c r="BW22" i="13"/>
  <c r="BU45" i="4"/>
  <c r="SJ33" i="10"/>
  <c r="SB31" i="10"/>
  <c r="BR88" i="1"/>
  <c r="BR90" i="1" s="1"/>
  <c r="RQ36" i="10"/>
  <c r="GC39" i="13"/>
  <c r="QQ36" i="10"/>
  <c r="RO36" i="10"/>
  <c r="QS31" i="10"/>
  <c r="TB36" i="10"/>
  <c r="TB45" i="10" s="1"/>
  <c r="TB48" i="10" s="1"/>
  <c r="BS16" i="4"/>
  <c r="BS57" i="4" s="1"/>
  <c r="CD41" i="12"/>
  <c r="SW40" i="10"/>
  <c r="QJ38" i="10"/>
  <c r="QQ31" i="10"/>
  <c r="QW40" i="10"/>
  <c r="VW5" i="10"/>
  <c r="VW19" i="10" s="1"/>
  <c r="VW22" i="10" s="1"/>
  <c r="GF20" i="2"/>
  <c r="TD19" i="10"/>
  <c r="TD22" i="10" s="1"/>
  <c r="RO31" i="10"/>
  <c r="QW34" i="10"/>
  <c r="CZ41" i="1"/>
  <c r="GG61" i="13"/>
  <c r="FS28" i="13"/>
  <c r="FS44" i="13"/>
  <c r="FQ28" i="13"/>
  <c r="GC22" i="13"/>
  <c r="FY39" i="13"/>
  <c r="CZ94" i="12"/>
  <c r="TM36" i="10"/>
  <c r="TW37" i="10"/>
  <c r="TB19" i="10"/>
  <c r="TB22" i="10" s="1"/>
  <c r="BY64" i="3"/>
  <c r="SZ45" i="10"/>
  <c r="SZ48" i="10" s="1"/>
  <c r="TJ31" i="10"/>
  <c r="GB73" i="2"/>
  <c r="RJ33" i="10"/>
  <c r="CD95" i="1"/>
  <c r="GQ28" i="13"/>
  <c r="CQ44" i="13"/>
  <c r="GE61" i="13"/>
  <c r="CC44" i="13"/>
  <c r="CL94" i="12"/>
  <c r="RW46" i="10"/>
  <c r="QB36" i="10"/>
  <c r="QB45" i="10" s="1"/>
  <c r="SQ36" i="10"/>
  <c r="FR20" i="2"/>
  <c r="QW39" i="10"/>
  <c r="SF36" i="10"/>
  <c r="QU36" i="10"/>
  <c r="PZ36" i="10"/>
  <c r="CB41" i="1"/>
  <c r="GI28" i="13"/>
  <c r="CI44" i="13"/>
  <c r="GG28" i="13"/>
  <c r="BS22" i="13"/>
  <c r="GU22" i="13"/>
  <c r="GS61" i="13"/>
  <c r="GC61" i="13"/>
  <c r="CC27" i="4"/>
  <c r="CC32" i="4" s="1"/>
  <c r="GU6" i="13"/>
  <c r="GE6" i="13"/>
  <c r="GC6" i="13"/>
  <c r="GS6" i="13"/>
  <c r="CD94" i="12"/>
  <c r="CJ94" i="12"/>
  <c r="UF45" i="10"/>
  <c r="UF48" i="10" s="1"/>
  <c r="RS36" i="10"/>
  <c r="TJ5" i="10"/>
  <c r="CO22" i="13"/>
  <c r="GA16" i="4"/>
  <c r="GA23" i="4" s="1"/>
  <c r="SW46" i="10"/>
  <c r="QW38" i="10"/>
  <c r="QM31" i="10"/>
  <c r="RU36" i="10"/>
  <c r="RM36" i="10"/>
  <c r="RW37" i="10"/>
  <c r="TS19" i="10"/>
  <c r="TS22" i="10" s="1"/>
  <c r="FQ29" i="3"/>
  <c r="FO29" i="3"/>
  <c r="CG47" i="4"/>
  <c r="CJ61" i="2"/>
  <c r="QJ39" i="10"/>
  <c r="QS19" i="10"/>
  <c r="QS22" i="10" s="1"/>
  <c r="GC29" i="3"/>
  <c r="TW32" i="10"/>
  <c r="FU29" i="3"/>
  <c r="TJ37" i="10"/>
  <c r="SJ46" i="10"/>
  <c r="SW10" i="10"/>
  <c r="RS31" i="10"/>
  <c r="RB19" i="10"/>
  <c r="RB22" i="10" s="1"/>
  <c r="RJ32" i="10"/>
  <c r="BS23" i="3"/>
  <c r="CZ95" i="1"/>
  <c r="SM19" i="10"/>
  <c r="SM22" i="10" s="1"/>
  <c r="BT41" i="1"/>
  <c r="FU6" i="3"/>
  <c r="GB20" i="2"/>
  <c r="GB22" i="2" s="1"/>
  <c r="GO39" i="13"/>
  <c r="GQ39" i="13"/>
  <c r="BY57" i="4"/>
  <c r="BY23" i="4"/>
  <c r="GK6" i="13"/>
  <c r="CK22" i="13"/>
  <c r="CT94" i="12"/>
  <c r="BT94" i="12"/>
  <c r="QW10" i="10"/>
  <c r="L78" i="9"/>
  <c r="B90" i="9"/>
  <c r="B93" i="9" s="1"/>
  <c r="GK39" i="13"/>
  <c r="CG57" i="4"/>
  <c r="CG23" i="4"/>
  <c r="CR94" i="12"/>
  <c r="QS36" i="10"/>
  <c r="CG22" i="13"/>
  <c r="UH36" i="10"/>
  <c r="UH45" i="10" s="1"/>
  <c r="UH48" i="10" s="1"/>
  <c r="UJ40" i="10"/>
  <c r="RW10" i="10"/>
  <c r="FT7" i="2"/>
  <c r="RW33" i="10"/>
  <c r="TF36" i="10"/>
  <c r="SW37" i="10"/>
  <c r="SM36" i="10"/>
  <c r="FU62" i="3"/>
  <c r="QZ19" i="10"/>
  <c r="QZ22" i="10" s="1"/>
  <c r="RJ5" i="10"/>
  <c r="GO61" i="13"/>
  <c r="GA28" i="13"/>
  <c r="GM61" i="13"/>
  <c r="GK61" i="13"/>
  <c r="GS22" i="13"/>
  <c r="GG39" i="13"/>
  <c r="DB87" i="12"/>
  <c r="DB89" i="12" s="1"/>
  <c r="CE57" i="4"/>
  <c r="CE23" i="4"/>
  <c r="CB87" i="12"/>
  <c r="CB89" i="12" s="1"/>
  <c r="DB94" i="12"/>
  <c r="BV94" i="12"/>
  <c r="CB94" i="12"/>
  <c r="TS36" i="10"/>
  <c r="RB36" i="10"/>
  <c r="RB45" i="10" s="1"/>
  <c r="RB48" i="10" s="1"/>
  <c r="CA57" i="4"/>
  <c r="GA57" i="4" s="1"/>
  <c r="CA23" i="4"/>
  <c r="SJ37" i="10"/>
  <c r="RZ36" i="10"/>
  <c r="RW34" i="10"/>
  <c r="QJ32" i="10"/>
  <c r="PZ31" i="10"/>
  <c r="FU40" i="3"/>
  <c r="QM19" i="10"/>
  <c r="QM22" i="10" s="1"/>
  <c r="TW10" i="10"/>
  <c r="RZ31" i="10"/>
  <c r="RJ37" i="10"/>
  <c r="SW39" i="10"/>
  <c r="SB36" i="10"/>
  <c r="TJ32" i="10"/>
  <c r="RM31" i="10"/>
  <c r="GQ45" i="3"/>
  <c r="GO45" i="3"/>
  <c r="RJ10" i="10"/>
  <c r="SW5" i="10"/>
  <c r="SW38" i="10"/>
  <c r="SU36" i="10"/>
  <c r="RF36" i="10"/>
  <c r="RF45" i="10" s="1"/>
  <c r="RF48" i="10" s="1"/>
  <c r="QW37" i="10"/>
  <c r="QM36" i="10"/>
  <c r="RS19" i="10"/>
  <c r="RS22" i="10" s="1"/>
  <c r="GO62" i="3"/>
  <c r="GQ62" i="3"/>
  <c r="GC62" i="3"/>
  <c r="B114" i="9"/>
  <c r="B117" i="9" s="1"/>
  <c r="L107" i="9"/>
  <c r="QZ31" i="10"/>
  <c r="QW32" i="10"/>
  <c r="CL95" i="1"/>
  <c r="CF95" i="1"/>
  <c r="DB41" i="1"/>
  <c r="FY6" i="3"/>
  <c r="GG47" i="4"/>
  <c r="GJ61" i="2"/>
  <c r="DB88" i="1"/>
  <c r="DB90" i="1" s="1"/>
  <c r="VF45" i="10" l="1"/>
  <c r="VF48" i="10" s="1"/>
  <c r="GS27" i="4"/>
  <c r="GS32" i="4" s="1"/>
  <c r="GS45" i="4" s="1"/>
  <c r="GL22" i="2"/>
  <c r="GL29" i="2" s="1"/>
  <c r="CJ92" i="1"/>
  <c r="FG23" i="4"/>
  <c r="FG27" i="4" s="1"/>
  <c r="FG32" i="4" s="1"/>
  <c r="FG45" i="4" s="1"/>
  <c r="FG57" i="4"/>
  <c r="J17" i="9"/>
  <c r="J20" i="9" s="1"/>
  <c r="CR75" i="2"/>
  <c r="CR33" i="2"/>
  <c r="CR38" i="2" s="1"/>
  <c r="CR62" i="2" s="1"/>
  <c r="CR63" i="2" s="1"/>
  <c r="L114" i="9"/>
  <c r="L117" i="9" s="1"/>
  <c r="CV91" i="12"/>
  <c r="WW36" i="10"/>
  <c r="UJ19" i="10"/>
  <c r="UJ22" i="10" s="1"/>
  <c r="UD45" i="10"/>
  <c r="UD48" i="10" s="1"/>
  <c r="GJ75" i="2"/>
  <c r="GV22" i="2"/>
  <c r="GV29" i="2" s="1"/>
  <c r="GJ29" i="2"/>
  <c r="GP73" i="2"/>
  <c r="GG57" i="4"/>
  <c r="CX91" i="12"/>
  <c r="GT22" i="2"/>
  <c r="GN73" i="2"/>
  <c r="GR75" i="2"/>
  <c r="GN22" i="2"/>
  <c r="CP75" i="2"/>
  <c r="GG16" i="4"/>
  <c r="GG23" i="4" s="1"/>
  <c r="GG27" i="4" s="1"/>
  <c r="GG32" i="4" s="1"/>
  <c r="GG48" i="4" s="1"/>
  <c r="GG49" i="4" s="1"/>
  <c r="L90" i="9"/>
  <c r="L93" i="9" s="1"/>
  <c r="FH75" i="2"/>
  <c r="FJ75" i="2"/>
  <c r="TS45" i="10"/>
  <c r="TS48" i="10" s="1"/>
  <c r="J40" i="9"/>
  <c r="J43" i="9" s="1"/>
  <c r="VW31" i="10"/>
  <c r="YJ19" i="10"/>
  <c r="YJ22" i="10" s="1"/>
  <c r="FI27" i="4"/>
  <c r="FI32" i="4" s="1"/>
  <c r="FI45" i="4" s="1"/>
  <c r="TU45" i="10"/>
  <c r="TU48" i="10" s="1"/>
  <c r="TO45" i="10"/>
  <c r="TO48" i="10" s="1"/>
  <c r="WJ36" i="10"/>
  <c r="GP22" i="2"/>
  <c r="GH22" i="2"/>
  <c r="GH75" i="2" s="1"/>
  <c r="VJ36" i="10"/>
  <c r="WJ5" i="10"/>
  <c r="WJ19" i="10" s="1"/>
  <c r="WJ22" i="10" s="1"/>
  <c r="BL95" i="1"/>
  <c r="BJ94" i="1"/>
  <c r="BL94" i="12"/>
  <c r="BJ93" i="12"/>
  <c r="DB75" i="2"/>
  <c r="TQ45" i="10"/>
  <c r="TQ48" i="10" s="1"/>
  <c r="CU68" i="3"/>
  <c r="GU64" i="3"/>
  <c r="GU68" i="3" s="1"/>
  <c r="UZ45" i="10"/>
  <c r="UZ48" i="10" s="1"/>
  <c r="VJ31" i="10"/>
  <c r="CV75" i="2"/>
  <c r="WH31" i="10"/>
  <c r="WH45" i="10" s="1"/>
  <c r="WH48" i="10" s="1"/>
  <c r="WJ34" i="10"/>
  <c r="J65" i="9"/>
  <c r="J68" i="9" s="1"/>
  <c r="CI27" i="4"/>
  <c r="CI32" i="4" s="1"/>
  <c r="VZ45" i="10"/>
  <c r="VZ48" i="10" s="1"/>
  <c r="VU45" i="10"/>
  <c r="VU48" i="10" s="1"/>
  <c r="WZ45" i="10"/>
  <c r="WZ48" i="10" s="1"/>
  <c r="XJ31" i="10"/>
  <c r="VS45" i="10"/>
  <c r="VS48" i="10" s="1"/>
  <c r="VW36" i="10"/>
  <c r="VW34" i="10"/>
  <c r="WM45" i="10"/>
  <c r="WM48" i="10" s="1"/>
  <c r="WW31" i="10"/>
  <c r="FK27" i="4"/>
  <c r="FK32" i="4" s="1"/>
  <c r="FK45" i="4" s="1"/>
  <c r="UW36" i="10"/>
  <c r="XJ36" i="10"/>
  <c r="GU45" i="4"/>
  <c r="GU48" i="4"/>
  <c r="GU49" i="4" s="1"/>
  <c r="CM68" i="3"/>
  <c r="GM64" i="3"/>
  <c r="GM68" i="3" s="1"/>
  <c r="GS64" i="3"/>
  <c r="CS68" i="3"/>
  <c r="GS48" i="4"/>
  <c r="GS49" i="4" s="1"/>
  <c r="GQ45" i="4"/>
  <c r="GQ48" i="4"/>
  <c r="GQ49" i="4" s="1"/>
  <c r="XW45" i="10"/>
  <c r="XW48" i="10" s="1"/>
  <c r="UM45" i="10"/>
  <c r="UM48" i="10" s="1"/>
  <c r="UW31" i="10"/>
  <c r="CL33" i="2"/>
  <c r="CL38" i="2" s="1"/>
  <c r="CL62" i="2" s="1"/>
  <c r="CL63" i="2" s="1"/>
  <c r="UJ31" i="10"/>
  <c r="TZ45" i="10"/>
  <c r="TZ48" i="10" s="1"/>
  <c r="CK5" i="3"/>
  <c r="CX75" i="2"/>
  <c r="CL75" i="2"/>
  <c r="CP59" i="2"/>
  <c r="CP62" i="2"/>
  <c r="CP63" i="2" s="1"/>
  <c r="CX33" i="2"/>
  <c r="CX38" i="2" s="1"/>
  <c r="CJ75" i="2"/>
  <c r="CN59" i="2"/>
  <c r="CN62" i="2"/>
  <c r="CN63" i="2" s="1"/>
  <c r="CJ33" i="2"/>
  <c r="CJ38" i="2" s="1"/>
  <c r="CJ62" i="2" s="1"/>
  <c r="CJ63" i="2" s="1"/>
  <c r="CT33" i="2"/>
  <c r="CT38" i="2" s="1"/>
  <c r="GR33" i="2"/>
  <c r="GR38" i="2" s="1"/>
  <c r="CV33" i="2"/>
  <c r="CV38" i="2" s="1"/>
  <c r="CT75" i="2"/>
  <c r="FL75" i="2"/>
  <c r="FX22" i="2"/>
  <c r="BT75" i="2"/>
  <c r="FP61" i="2"/>
  <c r="FP62" i="2" s="1"/>
  <c r="FP63" i="2" s="1"/>
  <c r="FQ47" i="4"/>
  <c r="FN33" i="2"/>
  <c r="FN38" i="2" s="1"/>
  <c r="FN59" i="2" s="1"/>
  <c r="FN75" i="2"/>
  <c r="CZ75" i="2"/>
  <c r="CZ33" i="2"/>
  <c r="CZ38" i="2" s="1"/>
  <c r="CZ62" i="2" s="1"/>
  <c r="CZ63" i="2" s="1"/>
  <c r="CF91" i="12"/>
  <c r="CZ91" i="12"/>
  <c r="CB33" i="2"/>
  <c r="CB38" i="2" s="1"/>
  <c r="CF62" i="2"/>
  <c r="CF63" i="2" s="1"/>
  <c r="CF75" i="2"/>
  <c r="CT91" i="12"/>
  <c r="FX73" i="2"/>
  <c r="BX91" i="12"/>
  <c r="CB91" i="12"/>
  <c r="CB92" i="1"/>
  <c r="SQ45" i="10"/>
  <c r="SQ48" i="10" s="1"/>
  <c r="SD45" i="10"/>
  <c r="SD48" i="10" s="1"/>
  <c r="CY68" i="3"/>
  <c r="CY70" i="3" s="1"/>
  <c r="DA68" i="3"/>
  <c r="BU64" i="3"/>
  <c r="CJ91" i="12"/>
  <c r="BZ75" i="2"/>
  <c r="CH91" i="12"/>
  <c r="BW27" i="4"/>
  <c r="BW32" i="4" s="1"/>
  <c r="GA44" i="13"/>
  <c r="FY45" i="3"/>
  <c r="CR91" i="12"/>
  <c r="BZ92" i="1"/>
  <c r="FR73" i="2"/>
  <c r="FR22" i="2"/>
  <c r="SS45" i="10"/>
  <c r="SS48" i="10" s="1"/>
  <c r="CA64" i="3"/>
  <c r="GQ44" i="13"/>
  <c r="CW67" i="13"/>
  <c r="GI44" i="13"/>
  <c r="GU44" i="13"/>
  <c r="GQ22" i="13"/>
  <c r="GM22" i="13"/>
  <c r="GE22" i="13"/>
  <c r="FW16" i="4"/>
  <c r="FW23" i="4" s="1"/>
  <c r="GK44" i="13"/>
  <c r="CM63" i="13"/>
  <c r="BW63" i="13"/>
  <c r="CE63" i="13"/>
  <c r="CE67" i="13" s="1"/>
  <c r="BT92" i="1"/>
  <c r="CL91" i="12"/>
  <c r="QS45" i="10"/>
  <c r="QS48" i="10" s="1"/>
  <c r="SH45" i="10"/>
  <c r="SH48" i="10" s="1"/>
  <c r="GQ23" i="3"/>
  <c r="GF22" i="2"/>
  <c r="GF73" i="2"/>
  <c r="SM45" i="10"/>
  <c r="SM48" i="10" s="1"/>
  <c r="SB45" i="10"/>
  <c r="SB48" i="10" s="1"/>
  <c r="GO23" i="3"/>
  <c r="CB75" i="2"/>
  <c r="QU45" i="10"/>
  <c r="QU48" i="10" s="1"/>
  <c r="CU63" i="13"/>
  <c r="GU63" i="13" s="1"/>
  <c r="CF92" i="1"/>
  <c r="TW31" i="10"/>
  <c r="GC45" i="3"/>
  <c r="CZ92" i="1"/>
  <c r="BV91" i="12"/>
  <c r="CI63" i="13"/>
  <c r="GI63" i="13" s="1"/>
  <c r="GS44" i="13"/>
  <c r="FU16" i="4"/>
  <c r="FU23" i="4" s="1"/>
  <c r="BZ91" i="12"/>
  <c r="DB91" i="12"/>
  <c r="CN91" i="12"/>
  <c r="GA22" i="13"/>
  <c r="RQ45" i="10"/>
  <c r="RQ48" i="10" s="1"/>
  <c r="CQ63" i="13"/>
  <c r="GC44" i="13"/>
  <c r="CD75" i="2"/>
  <c r="CD33" i="2"/>
  <c r="CD38" i="2" s="1"/>
  <c r="CD62" i="2" s="1"/>
  <c r="CD63" i="2" s="1"/>
  <c r="BS23" i="4"/>
  <c r="BS27" i="4" s="1"/>
  <c r="BS32" i="4" s="1"/>
  <c r="GI22" i="13"/>
  <c r="DB92" i="1"/>
  <c r="CH75" i="2"/>
  <c r="FU22" i="13"/>
  <c r="FY23" i="3"/>
  <c r="BX75" i="2"/>
  <c r="SO45" i="10"/>
  <c r="SO48" i="10" s="1"/>
  <c r="TJ36" i="10"/>
  <c r="TJ45" i="10" s="1"/>
  <c r="TJ48" i="10" s="1"/>
  <c r="RW19" i="10"/>
  <c r="RW22" i="10" s="1"/>
  <c r="QQ45" i="10"/>
  <c r="QQ48" i="10" s="1"/>
  <c r="CD92" i="1"/>
  <c r="GD22" i="2"/>
  <c r="RU45" i="10"/>
  <c r="RU48" i="10" s="1"/>
  <c r="GE16" i="4"/>
  <c r="GE23" i="4" s="1"/>
  <c r="SW31" i="10"/>
  <c r="CC64" i="3"/>
  <c r="CH92" i="1"/>
  <c r="GD73" i="2"/>
  <c r="QW19" i="10"/>
  <c r="QW22" i="10" s="1"/>
  <c r="SF45" i="10"/>
  <c r="SF48" i="10" s="1"/>
  <c r="CP91" i="12"/>
  <c r="GC23" i="3"/>
  <c r="GC16" i="4"/>
  <c r="GC23" i="4" s="1"/>
  <c r="GC27" i="4" s="1"/>
  <c r="GC32" i="4" s="1"/>
  <c r="FP59" i="2"/>
  <c r="GE44" i="13"/>
  <c r="BR91" i="12"/>
  <c r="BR33" i="2"/>
  <c r="BR38" i="2" s="1"/>
  <c r="BR59" i="2" s="1"/>
  <c r="BR75" i="2"/>
  <c r="GM44" i="13"/>
  <c r="QO45" i="10"/>
  <c r="QO48" i="10" s="1"/>
  <c r="RO45" i="10"/>
  <c r="RO48" i="10" s="1"/>
  <c r="TW19" i="10"/>
  <c r="TW22" i="10" s="1"/>
  <c r="SU45" i="10"/>
  <c r="SU48" i="10" s="1"/>
  <c r="QD45" i="10"/>
  <c r="QD48" i="10" s="1"/>
  <c r="BR92" i="1"/>
  <c r="FP75" i="2"/>
  <c r="CL92" i="1"/>
  <c r="CA63" i="13"/>
  <c r="RS45" i="10"/>
  <c r="RS48" i="10" s="1"/>
  <c r="TF45" i="10"/>
  <c r="TF48" i="10" s="1"/>
  <c r="CD91" i="12"/>
  <c r="FZ73" i="2"/>
  <c r="CC63" i="13"/>
  <c r="RJ36" i="10"/>
  <c r="RW36" i="10"/>
  <c r="FZ22" i="2"/>
  <c r="FU45" i="3"/>
  <c r="GG44" i="13"/>
  <c r="TJ19" i="10"/>
  <c r="TJ22" i="10" s="1"/>
  <c r="BX33" i="2"/>
  <c r="BX38" i="2" s="1"/>
  <c r="GB29" i="2"/>
  <c r="GQ64" i="3"/>
  <c r="CQ68" i="3"/>
  <c r="GO64" i="3"/>
  <c r="CK63" i="13"/>
  <c r="GK22" i="13"/>
  <c r="BS63" i="13"/>
  <c r="FS22" i="13"/>
  <c r="BT62" i="2"/>
  <c r="BT63" i="2" s="1"/>
  <c r="BT59" i="2"/>
  <c r="CA27" i="4"/>
  <c r="CA32" i="4" s="1"/>
  <c r="RJ19" i="10"/>
  <c r="RJ22" i="10" s="1"/>
  <c r="FY57" i="4"/>
  <c r="FW57" i="4"/>
  <c r="GI47" i="4"/>
  <c r="GI48" i="4" s="1"/>
  <c r="GI49" i="4" s="1"/>
  <c r="GL61" i="2"/>
  <c r="QW36" i="10"/>
  <c r="RM45" i="10"/>
  <c r="RM48" i="10" s="1"/>
  <c r="RW31" i="10"/>
  <c r="FS57" i="4"/>
  <c r="FQ45" i="3"/>
  <c r="FO45" i="3"/>
  <c r="QM45" i="10"/>
  <c r="QM48" i="10" s="1"/>
  <c r="QW31" i="10"/>
  <c r="GA27" i="4"/>
  <c r="GA32" i="4" s="1"/>
  <c r="CE64" i="3"/>
  <c r="PZ45" i="10"/>
  <c r="PZ48" i="10" s="1"/>
  <c r="CE27" i="4"/>
  <c r="CE32" i="4" s="1"/>
  <c r="CH59" i="2"/>
  <c r="CH62" i="2"/>
  <c r="CH63" i="2" s="1"/>
  <c r="BY27" i="4"/>
  <c r="BY32" i="4" s="1"/>
  <c r="BZ59" i="2"/>
  <c r="BZ62" i="2"/>
  <c r="BZ63" i="2" s="1"/>
  <c r="CO63" i="13"/>
  <c r="GO22" i="13"/>
  <c r="GB75" i="2"/>
  <c r="FS48" i="4"/>
  <c r="FS49" i="4" s="1"/>
  <c r="FS45" i="4"/>
  <c r="FW23" i="3"/>
  <c r="GE57" i="4"/>
  <c r="GC57" i="4"/>
  <c r="CC48" i="4"/>
  <c r="CC49" i="4" s="1"/>
  <c r="CC45" i="4"/>
  <c r="TW36" i="10"/>
  <c r="TM45" i="10"/>
  <c r="TM48" i="10" s="1"/>
  <c r="FU23" i="3"/>
  <c r="DB62" i="2"/>
  <c r="DB63" i="2" s="1"/>
  <c r="DB59" i="2"/>
  <c r="QZ45" i="10"/>
  <c r="QZ48" i="10" s="1"/>
  <c r="RJ31" i="10"/>
  <c r="SW19" i="10"/>
  <c r="SW22" i="10" s="1"/>
  <c r="RZ45" i="10"/>
  <c r="RZ48" i="10" s="1"/>
  <c r="SJ31" i="10"/>
  <c r="SJ36" i="10"/>
  <c r="FY27" i="4"/>
  <c r="FY32" i="4" s="1"/>
  <c r="CS67" i="13"/>
  <c r="SW36" i="10"/>
  <c r="FT73" i="2"/>
  <c r="FT22" i="2"/>
  <c r="CG63" i="13"/>
  <c r="GG22" i="13"/>
  <c r="CG27" i="4"/>
  <c r="CG32" i="4" s="1"/>
  <c r="GO44" i="13"/>
  <c r="FS23" i="3"/>
  <c r="BS64" i="3"/>
  <c r="CI47" i="4"/>
  <c r="UJ36" i="10"/>
  <c r="GL75" i="2" l="1"/>
  <c r="CR59" i="2"/>
  <c r="GV75" i="2"/>
  <c r="GM70" i="3"/>
  <c r="GU70" i="3"/>
  <c r="WW45" i="10"/>
  <c r="WW48" i="10" s="1"/>
  <c r="GT29" i="2"/>
  <c r="GT33" i="2" s="1"/>
  <c r="GT38" i="2" s="1"/>
  <c r="GT75" i="2"/>
  <c r="GJ33" i="2"/>
  <c r="GJ38" i="2" s="1"/>
  <c r="GJ59" i="2" s="1"/>
  <c r="GG45" i="4"/>
  <c r="CI48" i="4"/>
  <c r="CI49" i="4" s="1"/>
  <c r="GN29" i="2"/>
  <c r="GN75" i="2"/>
  <c r="GP75" i="2"/>
  <c r="GP29" i="2"/>
  <c r="BJ94" i="12"/>
  <c r="BH93" i="12"/>
  <c r="FR29" i="2"/>
  <c r="FR33" i="2" s="1"/>
  <c r="FR38" i="2" s="1"/>
  <c r="FR62" i="2" s="1"/>
  <c r="FR63" i="2" s="1"/>
  <c r="CL59" i="2"/>
  <c r="BJ95" i="1"/>
  <c r="BH94" i="1"/>
  <c r="VW45" i="10"/>
  <c r="VW48" i="10" s="1"/>
  <c r="UW45" i="10"/>
  <c r="UW48" i="10" s="1"/>
  <c r="FX29" i="2"/>
  <c r="GK5" i="3"/>
  <c r="CK23" i="3"/>
  <c r="CK64" i="3" s="1"/>
  <c r="GH29" i="2"/>
  <c r="VJ45" i="10"/>
  <c r="VJ48" i="10" s="1"/>
  <c r="GK66" i="3"/>
  <c r="CM70" i="3"/>
  <c r="CI45" i="4"/>
  <c r="XJ45" i="10"/>
  <c r="XJ48" i="10" s="1"/>
  <c r="UJ45" i="10"/>
  <c r="UJ48" i="10" s="1"/>
  <c r="CK66" i="3"/>
  <c r="CS70" i="3"/>
  <c r="GQ66" i="3"/>
  <c r="GQ68" i="3" s="1"/>
  <c r="GQ70" i="3" s="1"/>
  <c r="GS66" i="3"/>
  <c r="GS68" i="3" s="1"/>
  <c r="GS70" i="3" s="1"/>
  <c r="CU70" i="3"/>
  <c r="WJ31" i="10"/>
  <c r="WJ45" i="10" s="1"/>
  <c r="WJ48" i="10" s="1"/>
  <c r="CT59" i="2"/>
  <c r="CT62" i="2"/>
  <c r="CT63" i="2" s="1"/>
  <c r="CX59" i="2"/>
  <c r="CX62" i="2"/>
  <c r="CX63" i="2" s="1"/>
  <c r="CJ59" i="2"/>
  <c r="GV33" i="2"/>
  <c r="GV38" i="2" s="1"/>
  <c r="CV59" i="2"/>
  <c r="CV62" i="2"/>
  <c r="CV63" i="2" s="1"/>
  <c r="GR59" i="2"/>
  <c r="GR62" i="2"/>
  <c r="GR63" i="2" s="1"/>
  <c r="FX75" i="2"/>
  <c r="CZ59" i="2"/>
  <c r="FN61" i="2"/>
  <c r="FN62" i="2" s="1"/>
  <c r="FN63" i="2" s="1"/>
  <c r="FO47" i="4"/>
  <c r="CB59" i="2"/>
  <c r="CB62" i="2"/>
  <c r="CB63" i="2" s="1"/>
  <c r="BW48" i="4"/>
  <c r="BW49" i="4" s="1"/>
  <c r="BW45" i="4"/>
  <c r="FR75" i="2"/>
  <c r="GF75" i="2"/>
  <c r="DA70" i="3"/>
  <c r="CC68" i="3"/>
  <c r="CA66" i="3" s="1"/>
  <c r="CA68" i="3" s="1"/>
  <c r="GA64" i="3"/>
  <c r="FU64" i="3"/>
  <c r="FY64" i="3"/>
  <c r="CM67" i="13"/>
  <c r="GK65" i="13" s="1"/>
  <c r="GA63" i="13"/>
  <c r="CD59" i="2"/>
  <c r="CU67" i="13"/>
  <c r="GS65" i="13" s="1"/>
  <c r="GQ63" i="13"/>
  <c r="CW69" i="13"/>
  <c r="GU65" i="13"/>
  <c r="GU67" i="13" s="1"/>
  <c r="GS63" i="13"/>
  <c r="CI67" i="13"/>
  <c r="GG65" i="13" s="1"/>
  <c r="GE63" i="13"/>
  <c r="FW27" i="4"/>
  <c r="FW32" i="4" s="1"/>
  <c r="FW48" i="4" s="1"/>
  <c r="FW49" i="4" s="1"/>
  <c r="CC67" i="13"/>
  <c r="CA65" i="13" s="1"/>
  <c r="CA67" i="13" s="1"/>
  <c r="TW45" i="10"/>
  <c r="TW48" i="10" s="1"/>
  <c r="GC64" i="3"/>
  <c r="GF29" i="2"/>
  <c r="FU27" i="4"/>
  <c r="FU32" i="4" s="1"/>
  <c r="FU48" i="4" s="1"/>
  <c r="FU49" i="4" s="1"/>
  <c r="CQ67" i="13"/>
  <c r="CQ69" i="13" s="1"/>
  <c r="GE27" i="4"/>
  <c r="GE32" i="4" s="1"/>
  <c r="GE48" i="4" s="1"/>
  <c r="GE49" i="4" s="1"/>
  <c r="GD75" i="2"/>
  <c r="GD29" i="2"/>
  <c r="GD33" i="2" s="1"/>
  <c r="GD38" i="2" s="1"/>
  <c r="SW45" i="10"/>
  <c r="SW48" i="10" s="1"/>
  <c r="BR62" i="2"/>
  <c r="BR63" i="2" s="1"/>
  <c r="GC63" i="13"/>
  <c r="SJ45" i="10"/>
  <c r="SJ48" i="10" s="1"/>
  <c r="FT75" i="2"/>
  <c r="FZ29" i="2"/>
  <c r="FZ33" i="2" s="1"/>
  <c r="FZ38" i="2" s="1"/>
  <c r="BX59" i="2"/>
  <c r="BX62" i="2"/>
  <c r="BX63" i="2" s="1"/>
  <c r="QW45" i="10"/>
  <c r="QW48" i="10" s="1"/>
  <c r="FZ75" i="2"/>
  <c r="RJ45" i="10"/>
  <c r="RJ48" i="10" s="1"/>
  <c r="RW45" i="10"/>
  <c r="RW48" i="10" s="1"/>
  <c r="GO63" i="13"/>
  <c r="CO67" i="13"/>
  <c r="CE48" i="4"/>
  <c r="CE49" i="4" s="1"/>
  <c r="CE45" i="4"/>
  <c r="CE68" i="3"/>
  <c r="GE64" i="3"/>
  <c r="GM63" i="13"/>
  <c r="FS64" i="3"/>
  <c r="FT29" i="2"/>
  <c r="CS69" i="13"/>
  <c r="GQ65" i="13"/>
  <c r="GL33" i="2"/>
  <c r="GL38" i="2" s="1"/>
  <c r="GA48" i="4"/>
  <c r="GA49" i="4" s="1"/>
  <c r="GA45" i="4"/>
  <c r="CE69" i="13"/>
  <c r="GC65" i="13"/>
  <c r="CA48" i="4"/>
  <c r="CA49" i="4" s="1"/>
  <c r="CA45" i="4"/>
  <c r="GB33" i="2"/>
  <c r="GB38" i="2" s="1"/>
  <c r="FW64" i="3"/>
  <c r="CG48" i="4"/>
  <c r="CG49" i="4" s="1"/>
  <c r="CG45" i="4"/>
  <c r="FY48" i="4"/>
  <c r="FY49" i="4" s="1"/>
  <c r="FY45" i="4"/>
  <c r="GK47" i="4"/>
  <c r="GK48" i="4" s="1"/>
  <c r="GK49" i="4" s="1"/>
  <c r="GN61" i="2"/>
  <c r="GG63" i="13"/>
  <c r="CG67" i="13"/>
  <c r="BS48" i="4"/>
  <c r="BS49" i="4" s="1"/>
  <c r="BS45" i="4"/>
  <c r="BY48" i="4"/>
  <c r="BY49" i="4" s="1"/>
  <c r="BY45" i="4"/>
  <c r="GC45" i="4"/>
  <c r="GC48" i="4"/>
  <c r="GC49" i="4" s="1"/>
  <c r="FS63" i="13"/>
  <c r="CK67" i="13"/>
  <c r="GK63" i="13"/>
  <c r="GO66" i="3"/>
  <c r="GO68" i="3" s="1"/>
  <c r="GO70" i="3" s="1"/>
  <c r="CQ70" i="3"/>
  <c r="GN33" i="2" l="1"/>
  <c r="GN38" i="2" s="1"/>
  <c r="GN59" i="2" s="1"/>
  <c r="BH94" i="12"/>
  <c r="BF93" i="12"/>
  <c r="BH95" i="1"/>
  <c r="BF94" i="1"/>
  <c r="GS67" i="13"/>
  <c r="GS69" i="13" s="1"/>
  <c r="GJ62" i="2"/>
  <c r="GJ63" i="2" s="1"/>
  <c r="GP33" i="2"/>
  <c r="GP38" i="2" s="1"/>
  <c r="GP59" i="2" s="1"/>
  <c r="FR59" i="2"/>
  <c r="FX33" i="2"/>
  <c r="FX38" i="2" s="1"/>
  <c r="FX59" i="2" s="1"/>
  <c r="GK23" i="3"/>
  <c r="GH33" i="2"/>
  <c r="GH38" i="2" s="1"/>
  <c r="GH62" i="2" s="1"/>
  <c r="GH63" i="2" s="1"/>
  <c r="CU69" i="13"/>
  <c r="GU69" i="13"/>
  <c r="GT59" i="2"/>
  <c r="GT62" i="2"/>
  <c r="GT63" i="2" s="1"/>
  <c r="GV59" i="2"/>
  <c r="GV62" i="2"/>
  <c r="GV63" i="2" s="1"/>
  <c r="FL61" i="2"/>
  <c r="FM47" i="4"/>
  <c r="FM48" i="4" s="1"/>
  <c r="FM49" i="4" s="1"/>
  <c r="CM69" i="13"/>
  <c r="BY66" i="3"/>
  <c r="BY68" i="3" s="1"/>
  <c r="CI69" i="13"/>
  <c r="GA65" i="13"/>
  <c r="GA67" i="13" s="1"/>
  <c r="GA69" i="13" s="1"/>
  <c r="FW45" i="4"/>
  <c r="BU65" i="13"/>
  <c r="BU66" i="3"/>
  <c r="BU68" i="3" s="1"/>
  <c r="BI66" i="3" s="1"/>
  <c r="BI68" i="3" s="1"/>
  <c r="GE68" i="3"/>
  <c r="GE70" i="3" s="1"/>
  <c r="CC70" i="3"/>
  <c r="GA66" i="3"/>
  <c r="GA68" i="3" s="1"/>
  <c r="GA70" i="3" s="1"/>
  <c r="GQ67" i="13"/>
  <c r="GQ69" i="13" s="1"/>
  <c r="GO65" i="13"/>
  <c r="GO67" i="13" s="1"/>
  <c r="GO69" i="13" s="1"/>
  <c r="BW65" i="13"/>
  <c r="BW67" i="13" s="1"/>
  <c r="CC69" i="13"/>
  <c r="BY65" i="13"/>
  <c r="FU45" i="4"/>
  <c r="GF33" i="2"/>
  <c r="GF38" i="2" s="1"/>
  <c r="GE45" i="4"/>
  <c r="GK67" i="13"/>
  <c r="GK69" i="13" s="1"/>
  <c r="GC67" i="13"/>
  <c r="GC69" i="13" s="1"/>
  <c r="GG67" i="13"/>
  <c r="GG69" i="13" s="1"/>
  <c r="FT33" i="2"/>
  <c r="FT38" i="2" s="1"/>
  <c r="CO69" i="13"/>
  <c r="GM65" i="13"/>
  <c r="GM67" i="13" s="1"/>
  <c r="GM69" i="13" s="1"/>
  <c r="CK69" i="13"/>
  <c r="GI65" i="13"/>
  <c r="GI67" i="13" s="1"/>
  <c r="GI69" i="13" s="1"/>
  <c r="CG69" i="13"/>
  <c r="GE65" i="13"/>
  <c r="GE67" i="13" s="1"/>
  <c r="GE69" i="13" s="1"/>
  <c r="GD62" i="2"/>
  <c r="GD63" i="2" s="1"/>
  <c r="GD59" i="2"/>
  <c r="FU66" i="3"/>
  <c r="FU68" i="3" s="1"/>
  <c r="CE70" i="3"/>
  <c r="GC66" i="3"/>
  <c r="GC68" i="3" s="1"/>
  <c r="GC70" i="3" s="1"/>
  <c r="FY66" i="3"/>
  <c r="FY68" i="3" s="1"/>
  <c r="CA70" i="3"/>
  <c r="FZ59" i="2"/>
  <c r="FZ62" i="2"/>
  <c r="FZ63" i="2" s="1"/>
  <c r="FY65" i="13"/>
  <c r="CA69" i="13"/>
  <c r="GK64" i="3"/>
  <c r="CK68" i="3"/>
  <c r="GL62" i="2"/>
  <c r="GL63" i="2" s="1"/>
  <c r="GL59" i="2"/>
  <c r="GM47" i="4"/>
  <c r="GM48" i="4" s="1"/>
  <c r="GM49" i="4" s="1"/>
  <c r="GP61" i="2"/>
  <c r="GB62" i="2"/>
  <c r="GB63" i="2" s="1"/>
  <c r="GB59" i="2"/>
  <c r="GN62" i="2" l="1"/>
  <c r="GN63" i="2" s="1"/>
  <c r="BD94" i="1"/>
  <c r="BF94" i="12"/>
  <c r="BD93" i="12"/>
  <c r="GH59" i="2"/>
  <c r="FX62" i="2"/>
  <c r="FX63" i="2" s="1"/>
  <c r="BI70" i="3"/>
  <c r="FG66" i="3"/>
  <c r="BM66" i="3"/>
  <c r="BK66" i="3"/>
  <c r="BK68" i="3" s="1"/>
  <c r="FI66" i="3" s="1"/>
  <c r="FU65" i="13"/>
  <c r="FW66" i="3"/>
  <c r="FW68" i="3" s="1"/>
  <c r="FW70" i="3" s="1"/>
  <c r="BY70" i="3"/>
  <c r="FY70" i="3"/>
  <c r="FJ61" i="2"/>
  <c r="FH61" i="2" s="1"/>
  <c r="FL62" i="2"/>
  <c r="FL63" i="2" s="1"/>
  <c r="FK47" i="4"/>
  <c r="FK48" i="4" s="1"/>
  <c r="FK49" i="4" s="1"/>
  <c r="BQ66" i="3"/>
  <c r="BO66" i="3"/>
  <c r="FU70" i="3"/>
  <c r="BW69" i="13"/>
  <c r="FS66" i="3"/>
  <c r="FS68" i="3" s="1"/>
  <c r="BS66" i="3"/>
  <c r="BS68" i="3" s="1"/>
  <c r="FQ66" i="3" s="1"/>
  <c r="GK68" i="3"/>
  <c r="GK70" i="3" s="1"/>
  <c r="GF59" i="2"/>
  <c r="GF62" i="2"/>
  <c r="GF63" i="2" s="1"/>
  <c r="GO47" i="4"/>
  <c r="GO48" i="4" s="1"/>
  <c r="GO49" i="4" s="1"/>
  <c r="GP62" i="2"/>
  <c r="GP63" i="2" s="1"/>
  <c r="FT62" i="2"/>
  <c r="FT63" i="2" s="1"/>
  <c r="FT59" i="2"/>
  <c r="GI66" i="3"/>
  <c r="GI68" i="3" s="1"/>
  <c r="GI70" i="3" s="1"/>
  <c r="CK70" i="3"/>
  <c r="BD94" i="12" l="1"/>
  <c r="BB93" i="12"/>
  <c r="BD95" i="1"/>
  <c r="BB94" i="1"/>
  <c r="AZ94" i="1" s="1"/>
  <c r="FH62" i="2"/>
  <c r="FF61" i="2"/>
  <c r="FD61" i="2" s="1"/>
  <c r="BK70" i="3"/>
  <c r="FI68" i="3"/>
  <c r="FI70" i="3" s="1"/>
  <c r="FJ62" i="2"/>
  <c r="FJ63" i="2" s="1"/>
  <c r="FI47" i="4"/>
  <c r="FI48" i="4" s="1"/>
  <c r="FI49" i="4" s="1"/>
  <c r="FS70" i="3"/>
  <c r="BS70" i="3"/>
  <c r="FU34" i="13"/>
  <c r="AZ95" i="1" l="1"/>
  <c r="AX94" i="1"/>
  <c r="BB94" i="12"/>
  <c r="AZ93" i="12"/>
  <c r="FB61" i="2"/>
  <c r="FC47" i="4"/>
  <c r="FC48" i="4" s="1"/>
  <c r="FC49" i="4" s="1"/>
  <c r="FE47" i="4"/>
  <c r="FE48" i="4" s="1"/>
  <c r="FE49" i="4" s="1"/>
  <c r="FH63" i="2"/>
  <c r="FG47" i="4"/>
  <c r="FG48" i="4" s="1"/>
  <c r="FG49" i="4" s="1"/>
  <c r="AX95" i="1" l="1"/>
  <c r="AV94" i="1"/>
  <c r="AZ94" i="12"/>
  <c r="AX93" i="12"/>
  <c r="FA47" i="4"/>
  <c r="EZ61" i="2"/>
  <c r="EX61" i="2" s="1"/>
  <c r="EW47" i="4" s="1"/>
  <c r="EW48" i="4" s="1"/>
  <c r="EW49" i="4" s="1"/>
  <c r="FQ25" i="4"/>
  <c r="FO25" i="4"/>
  <c r="FO14" i="4"/>
  <c r="FQ14" i="4"/>
  <c r="BQ7" i="4"/>
  <c r="BQ16" i="4" s="1"/>
  <c r="BQ57" i="4" s="1"/>
  <c r="FO57" i="4" s="1"/>
  <c r="FQ4" i="4"/>
  <c r="FO4" i="4"/>
  <c r="FQ19" i="4"/>
  <c r="FO19" i="4"/>
  <c r="FO11" i="4"/>
  <c r="FQ11" i="4"/>
  <c r="FQ12" i="4"/>
  <c r="FO12" i="4"/>
  <c r="FO9" i="4"/>
  <c r="FQ9" i="4"/>
  <c r="FO10" i="4"/>
  <c r="FQ10" i="4"/>
  <c r="FO5" i="4"/>
  <c r="FQ5" i="4"/>
  <c r="FO18" i="4"/>
  <c r="FQ18" i="4"/>
  <c r="AV95" i="1" l="1"/>
  <c r="AT94" i="1"/>
  <c r="AV93" i="12"/>
  <c r="AX94" i="12"/>
  <c r="EV61" i="2"/>
  <c r="EU47" i="4" s="1"/>
  <c r="EU48" i="4" s="1"/>
  <c r="EU49" i="4" s="1"/>
  <c r="EX62" i="2"/>
  <c r="EX63" i="2" s="1"/>
  <c r="FA48" i="4"/>
  <c r="FA49" i="4" s="1"/>
  <c r="EY47" i="4"/>
  <c r="EY48" i="4" s="1"/>
  <c r="EY49" i="4" s="1"/>
  <c r="FQ7" i="4"/>
  <c r="FO7" i="4"/>
  <c r="BQ23" i="4"/>
  <c r="AT95" i="1" l="1"/>
  <c r="AR94" i="1"/>
  <c r="AT93" i="12"/>
  <c r="AT94" i="12" s="1"/>
  <c r="AV94" i="12"/>
  <c r="ET61" i="2"/>
  <c r="ES47" i="4" s="1"/>
  <c r="EV62" i="2"/>
  <c r="EV63" i="2" s="1"/>
  <c r="FO16" i="4"/>
  <c r="FO23" i="4" s="1"/>
  <c r="FO27" i="4" s="1"/>
  <c r="FO32" i="4" s="1"/>
  <c r="FO48" i="4" s="1"/>
  <c r="FO49" i="4" s="1"/>
  <c r="FQ16" i="4"/>
  <c r="FQ23" i="4" s="1"/>
  <c r="BQ27" i="4"/>
  <c r="BQ32" i="4" s="1"/>
  <c r="FQ57" i="4"/>
  <c r="AR95" i="1" l="1"/>
  <c r="AP94" i="1"/>
  <c r="EQ47" i="4"/>
  <c r="ES48" i="4"/>
  <c r="ES49" i="4" s="1"/>
  <c r="AR93" i="12"/>
  <c r="ER61" i="2"/>
  <c r="ET62" i="2"/>
  <c r="ET63" i="2" s="1"/>
  <c r="FQ27" i="4"/>
  <c r="FQ32" i="4" s="1"/>
  <c r="FQ45" i="4" s="1"/>
  <c r="FO45" i="4"/>
  <c r="BQ45" i="4"/>
  <c r="BQ48" i="4"/>
  <c r="BQ49" i="4" s="1"/>
  <c r="AP95" i="1" l="1"/>
  <c r="AN94" i="1"/>
  <c r="ER62" i="2"/>
  <c r="ER63" i="2" s="1"/>
  <c r="EP61" i="2"/>
  <c r="AR94" i="12"/>
  <c r="AP93" i="12"/>
  <c r="EQ48" i="4"/>
  <c r="EQ49" i="4" s="1"/>
  <c r="EO47" i="4"/>
  <c r="FQ48" i="4"/>
  <c r="FQ49" i="4" s="1"/>
  <c r="FU42" i="13"/>
  <c r="FU41" i="13"/>
  <c r="FU38" i="13"/>
  <c r="FU37" i="13"/>
  <c r="AN95" i="1" l="1"/>
  <c r="AL94" i="1"/>
  <c r="EO48" i="4"/>
  <c r="EO49" i="4" s="1"/>
  <c r="EM47" i="4"/>
  <c r="AP94" i="12"/>
  <c r="AN93" i="12"/>
  <c r="EP62" i="2"/>
  <c r="EP63" i="2" s="1"/>
  <c r="EN61" i="2"/>
  <c r="FY10" i="13"/>
  <c r="FW10" i="13"/>
  <c r="FW27" i="13"/>
  <c r="FY27" i="13"/>
  <c r="FW49" i="13"/>
  <c r="FY49" i="13"/>
  <c r="FW55" i="13"/>
  <c r="FY55" i="13"/>
  <c r="FY59" i="13"/>
  <c r="FW59" i="13"/>
  <c r="BY6" i="13"/>
  <c r="FY7" i="13"/>
  <c r="FW7" i="13"/>
  <c r="FY11" i="13"/>
  <c r="FW11" i="13"/>
  <c r="FY15" i="13"/>
  <c r="FW15" i="13"/>
  <c r="FW19" i="13"/>
  <c r="FY19" i="13"/>
  <c r="FW32" i="13"/>
  <c r="FY32" i="13"/>
  <c r="FY50" i="13"/>
  <c r="FW50" i="13"/>
  <c r="FY56" i="13"/>
  <c r="FW56" i="13"/>
  <c r="FW60" i="13"/>
  <c r="FY60" i="13"/>
  <c r="FW14" i="13"/>
  <c r="FY14" i="13"/>
  <c r="FW29" i="13"/>
  <c r="FY29" i="13"/>
  <c r="BY28" i="13"/>
  <c r="BY44" i="13" s="1"/>
  <c r="FY57" i="13"/>
  <c r="FW57" i="13"/>
  <c r="FU35" i="13"/>
  <c r="FU40" i="13"/>
  <c r="FU39" i="13"/>
  <c r="FY31" i="13"/>
  <c r="FW31" i="13"/>
  <c r="FW12" i="13"/>
  <c r="FY12" i="13"/>
  <c r="FY16" i="13"/>
  <c r="FW16" i="13"/>
  <c r="FW33" i="13"/>
  <c r="FY33" i="13"/>
  <c r="FY9" i="13"/>
  <c r="FW9" i="13"/>
  <c r="FW13" i="13"/>
  <c r="FY13" i="13"/>
  <c r="FY17" i="13"/>
  <c r="FW17" i="13"/>
  <c r="FY26" i="13"/>
  <c r="FW26" i="13"/>
  <c r="FY30" i="13"/>
  <c r="FW30" i="13"/>
  <c r="FW35" i="13"/>
  <c r="FY35" i="13"/>
  <c r="FW48" i="13"/>
  <c r="FY48" i="13"/>
  <c r="BY61" i="13"/>
  <c r="FY54" i="13"/>
  <c r="FW54" i="13"/>
  <c r="FW58" i="13"/>
  <c r="FY58" i="13"/>
  <c r="FW18" i="13"/>
  <c r="FY18" i="13"/>
  <c r="FY51" i="13"/>
  <c r="FW51" i="13"/>
  <c r="FY21" i="13"/>
  <c r="FW21" i="13"/>
  <c r="AL95" i="1" l="1"/>
  <c r="AJ94" i="1"/>
  <c r="AH94" i="1" s="1"/>
  <c r="AN94" i="12"/>
  <c r="AL93" i="12"/>
  <c r="EM48" i="4"/>
  <c r="EM49" i="4" s="1"/>
  <c r="EK47" i="4"/>
  <c r="EN62" i="2"/>
  <c r="EN63" i="2" s="1"/>
  <c r="EL61" i="2"/>
  <c r="BU44" i="13"/>
  <c r="FU44" i="13" s="1"/>
  <c r="FW44" i="13"/>
  <c r="FY44" i="13"/>
  <c r="FY61" i="13"/>
  <c r="FW61" i="13"/>
  <c r="FW28" i="13"/>
  <c r="FY28" i="13"/>
  <c r="FW6" i="13"/>
  <c r="FY6" i="13"/>
  <c r="AF94" i="1" l="1"/>
  <c r="AH95" i="1"/>
  <c r="AJ95" i="1"/>
  <c r="AL94" i="12"/>
  <c r="AJ93" i="12"/>
  <c r="EL62" i="2"/>
  <c r="EL63" i="2" s="1"/>
  <c r="EJ61" i="2"/>
  <c r="EK48" i="4"/>
  <c r="EK49" i="4" s="1"/>
  <c r="EI47" i="4"/>
  <c r="BU63" i="13"/>
  <c r="FU63" i="13" s="1"/>
  <c r="AD94" i="1" l="1"/>
  <c r="AF95" i="1"/>
  <c r="EJ62" i="2"/>
  <c r="EJ63" i="2" s="1"/>
  <c r="EH61" i="2"/>
  <c r="EI48" i="4"/>
  <c r="EI49" i="4" s="1"/>
  <c r="EG47" i="4"/>
  <c r="AJ94" i="12"/>
  <c r="AH93" i="12"/>
  <c r="BU67" i="13"/>
  <c r="FU67" i="13"/>
  <c r="AB94" i="1" l="1"/>
  <c r="AF93" i="12"/>
  <c r="AH94" i="12"/>
  <c r="EE47" i="4"/>
  <c r="EG48" i="4"/>
  <c r="EG49" i="4" s="1"/>
  <c r="EF61" i="2"/>
  <c r="EH62" i="2"/>
  <c r="EH63" i="2" s="1"/>
  <c r="BS65" i="13"/>
  <c r="BS67" i="13" s="1"/>
  <c r="BO65" i="13"/>
  <c r="BO67" i="13" s="1"/>
  <c r="FU69" i="13"/>
  <c r="BU69" i="13"/>
  <c r="BQ65" i="13"/>
  <c r="FS65" i="13"/>
  <c r="FS67" i="13" s="1"/>
  <c r="AB95" i="1" l="1"/>
  <c r="Z94" i="1"/>
  <c r="AF94" i="12"/>
  <c r="AD93" i="12"/>
  <c r="AB93" i="12" s="1"/>
  <c r="EF62" i="2"/>
  <c r="EF63" i="2" s="1"/>
  <c r="ED61" i="2"/>
  <c r="EB61" i="2" s="1"/>
  <c r="DZ61" i="2" s="1"/>
  <c r="EE48" i="4"/>
  <c r="EE49" i="4" s="1"/>
  <c r="EC47" i="4"/>
  <c r="FQ65" i="13"/>
  <c r="BS69" i="13"/>
  <c r="FS69" i="13"/>
  <c r="BO69" i="13"/>
  <c r="FM65" i="13"/>
  <c r="FM67" i="13" s="1"/>
  <c r="FM69" i="13" s="1"/>
  <c r="AB94" i="12" l="1"/>
  <c r="Z93" i="12"/>
  <c r="DX61" i="2"/>
  <c r="DV61" i="2" s="1"/>
  <c r="DT61" i="2" s="1"/>
  <c r="DR61" i="2" s="1"/>
  <c r="X94" i="1"/>
  <c r="EC48" i="4"/>
  <c r="EC49" i="4" s="1"/>
  <c r="EA47" i="4"/>
  <c r="FO7" i="13"/>
  <c r="FQ7" i="13"/>
  <c r="DP61" i="2" l="1"/>
  <c r="DN61" i="2" s="1"/>
  <c r="DL61" i="2" s="1"/>
  <c r="DR62" i="2"/>
  <c r="DR63" i="2" s="1"/>
  <c r="EA48" i="4"/>
  <c r="EA49" i="4" s="1"/>
  <c r="DY47" i="4"/>
  <c r="X93" i="12"/>
  <c r="Z94" i="12"/>
  <c r="V94" i="1"/>
  <c r="T94" i="1" s="1"/>
  <c r="X95" i="1"/>
  <c r="DJ61" i="2" l="1"/>
  <c r="DL62" i="2"/>
  <c r="DL63" i="2" s="1"/>
  <c r="T95" i="1"/>
  <c r="R94" i="1"/>
  <c r="P94" i="1" s="1"/>
  <c r="N94" i="1" s="1"/>
  <c r="DW47" i="4"/>
  <c r="DU47" i="4" s="1"/>
  <c r="DY48" i="4"/>
  <c r="DY49" i="4" s="1"/>
  <c r="V93" i="12"/>
  <c r="X94" i="12"/>
  <c r="FQ42" i="13"/>
  <c r="FO42" i="13"/>
  <c r="DJ62" i="2" l="1"/>
  <c r="DJ63" i="2" s="1"/>
  <c r="L94" i="1"/>
  <c r="N95" i="1"/>
  <c r="DS47" i="4"/>
  <c r="DU48" i="4"/>
  <c r="DU49" i="4" s="1"/>
  <c r="DW48" i="4"/>
  <c r="DW49" i="4" s="1"/>
  <c r="T93" i="12"/>
  <c r="R93" i="12" s="1"/>
  <c r="V94" i="12"/>
  <c r="L95" i="1" l="1"/>
  <c r="J94" i="1"/>
  <c r="J95" i="1" s="1"/>
  <c r="P93" i="12"/>
  <c r="R94" i="12"/>
  <c r="T94" i="12"/>
  <c r="DS48" i="4"/>
  <c r="DS49" i="4" s="1"/>
  <c r="DQ47" i="4"/>
  <c r="FQ35" i="13"/>
  <c r="FO35" i="13"/>
  <c r="N93" i="12" l="1"/>
  <c r="P94" i="12"/>
  <c r="DQ48" i="4"/>
  <c r="DQ49" i="4" s="1"/>
  <c r="DO47" i="4"/>
  <c r="DM47" i="4" s="1"/>
  <c r="DK47" i="4" s="1"/>
  <c r="FW5" i="13"/>
  <c r="FY5" i="13"/>
  <c r="BY22" i="13"/>
  <c r="DK48" i="4" l="1"/>
  <c r="DK49" i="4" s="1"/>
  <c r="DI47" i="4"/>
  <c r="L93" i="12"/>
  <c r="J93" i="12" s="1"/>
  <c r="J94" i="12" s="1"/>
  <c r="N94" i="12"/>
  <c r="BY63" i="13"/>
  <c r="FY22" i="13"/>
  <c r="FW22" i="13"/>
  <c r="DI48" i="4" l="1"/>
  <c r="DI49" i="4" s="1"/>
  <c r="L94" i="12"/>
  <c r="FW63" i="13"/>
  <c r="FY63" i="13"/>
  <c r="BY67" i="13"/>
  <c r="BY69" i="13" l="1"/>
  <c r="FW65" i="13"/>
  <c r="FW67" i="13" s="1"/>
  <c r="FW69" i="13" s="1"/>
  <c r="FY67" i="13"/>
  <c r="FY69" i="13" s="1"/>
  <c r="FO41" i="13" l="1"/>
  <c r="FQ41" i="13"/>
  <c r="FO14" i="13" l="1"/>
  <c r="FQ14" i="13"/>
  <c r="FO15" i="13" l="1"/>
  <c r="FQ15" i="13"/>
  <c r="FO17" i="13" l="1"/>
  <c r="FQ17" i="13"/>
  <c r="FQ19" i="13"/>
  <c r="FO19" i="13"/>
  <c r="FQ18" i="13"/>
  <c r="FO18" i="13"/>
  <c r="FQ40" i="13" l="1"/>
  <c r="FO40" i="13"/>
  <c r="FQ16" i="13" l="1"/>
  <c r="FO16" i="13"/>
  <c r="BQ6" i="13"/>
  <c r="FQ49" i="13"/>
  <c r="FO49" i="13"/>
  <c r="FQ6" i="13" l="1"/>
  <c r="FO6" i="13"/>
  <c r="FQ5" i="13" l="1"/>
  <c r="FO5" i="13"/>
  <c r="FO39" i="13"/>
  <c r="FQ39" i="13"/>
  <c r="BQ44" i="13"/>
  <c r="BQ22" i="13"/>
  <c r="FO22" i="13" l="1"/>
  <c r="FQ22" i="13"/>
  <c r="FO51" i="13"/>
  <c r="FQ51" i="13"/>
  <c r="BQ61" i="13"/>
  <c r="FO44" i="13"/>
  <c r="FQ44" i="13"/>
  <c r="FO61" i="13" l="1"/>
  <c r="FQ61" i="13"/>
  <c r="BQ63" i="13"/>
  <c r="FQ63" i="13" l="1"/>
  <c r="FO63" i="13"/>
  <c r="BQ67" i="13"/>
  <c r="BQ69" i="13" l="1"/>
  <c r="FO65" i="13"/>
  <c r="FO67" i="13" s="1"/>
  <c r="FO69" i="13" s="1"/>
  <c r="FQ67" i="13"/>
  <c r="FQ69" i="13" s="1"/>
  <c r="FV31" i="2" l="1"/>
  <c r="FV26" i="2" l="1"/>
  <c r="FV25" i="2"/>
  <c r="FV24" i="2"/>
  <c r="FV5" i="2"/>
  <c r="BV12" i="1" l="1"/>
  <c r="BV21" i="1" s="1"/>
  <c r="BV7" i="2"/>
  <c r="FV4" i="2"/>
  <c r="FV7" i="2" s="1"/>
  <c r="BU70" i="3"/>
  <c r="BV61" i="1"/>
  <c r="BV70" i="1" s="1"/>
  <c r="BV26" i="1"/>
  <c r="BV39" i="1" s="1"/>
  <c r="BV52" i="1"/>
  <c r="BV56" i="1" s="1"/>
  <c r="BV95" i="1" s="1"/>
  <c r="BV75" i="1"/>
  <c r="BV86" i="1" s="1"/>
  <c r="BV88" i="1" l="1"/>
  <c r="BV90" i="1" s="1"/>
  <c r="FV22" i="2"/>
  <c r="FV73" i="2"/>
  <c r="BV73" i="2"/>
  <c r="BV22" i="2"/>
  <c r="BV29" i="2" s="1"/>
  <c r="BV41" i="1"/>
  <c r="FV75" i="2" l="1"/>
  <c r="BV92" i="1"/>
  <c r="BV75" i="2"/>
  <c r="BV33" i="2"/>
  <c r="BV38" i="2" s="1"/>
  <c r="FV29" i="2"/>
  <c r="FV33" i="2" l="1"/>
  <c r="FV38" i="2" s="1"/>
  <c r="FV59" i="2" s="1"/>
  <c r="BV62" i="2"/>
  <c r="BV63" i="2" s="1"/>
  <c r="BV59" i="2"/>
  <c r="FV62" i="2" l="1"/>
  <c r="FV63" i="2" s="1"/>
  <c r="FQ7" i="3" l="1"/>
  <c r="FO7" i="3"/>
  <c r="FO15" i="3" l="1"/>
  <c r="FQ15" i="3"/>
  <c r="FO17" i="3" l="1"/>
  <c r="FQ17" i="3"/>
  <c r="FQ18" i="3"/>
  <c r="FO18" i="3"/>
  <c r="FQ16" i="3" l="1"/>
  <c r="FO16" i="3"/>
  <c r="FQ5" i="3"/>
  <c r="FO14" i="3" l="1"/>
  <c r="FQ14" i="3"/>
  <c r="FO52" i="3" l="1"/>
  <c r="BQ62" i="3"/>
  <c r="FQ52" i="3"/>
  <c r="FQ62" i="3" l="1"/>
  <c r="FO62" i="3"/>
  <c r="FO19" i="3" l="1"/>
  <c r="FQ19" i="3"/>
  <c r="BQ6" i="3"/>
  <c r="FO6" i="3" l="1"/>
  <c r="FQ6" i="3"/>
  <c r="BQ23" i="3"/>
  <c r="BQ64" i="3" l="1"/>
  <c r="FQ23" i="3"/>
  <c r="FQ64" i="3" l="1"/>
  <c r="BQ68" i="3"/>
  <c r="FQ68" i="3" l="1"/>
  <c r="FQ70" i="3" s="1"/>
  <c r="FO66" i="3"/>
  <c r="BQ70" i="3"/>
  <c r="QJ17" i="10" l="1"/>
  <c r="QF43" i="10"/>
  <c r="QJ43" i="10" s="1"/>
  <c r="QF10" i="10" l="1"/>
  <c r="QJ14" i="10"/>
  <c r="QF40" i="10"/>
  <c r="QH46" i="10" l="1"/>
  <c r="QJ20" i="10"/>
  <c r="QB46" i="10"/>
  <c r="QB22" i="10"/>
  <c r="QJ40" i="10"/>
  <c r="QF36" i="10"/>
  <c r="QF19" i="10"/>
  <c r="QF22" i="10" s="1"/>
  <c r="QF45" i="10" l="1"/>
  <c r="QF48" i="10" s="1"/>
  <c r="QJ46" i="10"/>
  <c r="QB48" i="10"/>
  <c r="QH5" i="10" l="1"/>
  <c r="QJ8" i="10"/>
  <c r="QH34" i="10"/>
  <c r="QH31" i="10" l="1"/>
  <c r="QJ34" i="10"/>
  <c r="QJ5" i="10"/>
  <c r="QJ31" i="10" l="1"/>
  <c r="QH10" i="10" l="1"/>
  <c r="QJ11" i="10"/>
  <c r="QH37" i="10"/>
  <c r="QH36" i="10" l="1"/>
  <c r="QJ37" i="10"/>
  <c r="QJ10" i="10"/>
  <c r="QJ19" i="10" s="1"/>
  <c r="QJ22" i="10" s="1"/>
  <c r="QH19" i="10"/>
  <c r="QH22" i="10" s="1"/>
  <c r="QJ36" i="10" l="1"/>
  <c r="QJ45" i="10" s="1"/>
  <c r="QJ48" i="10" s="1"/>
  <c r="QH45" i="10"/>
  <c r="QH48" i="10" s="1"/>
  <c r="BO23" i="3" l="1"/>
  <c r="FO5" i="3"/>
  <c r="BO64" i="3" l="1"/>
  <c r="FO23" i="3"/>
  <c r="BO68" i="3" l="1"/>
  <c r="BO70" i="3" s="1"/>
  <c r="FO64" i="3"/>
  <c r="FO68" i="3" s="1"/>
  <c r="FO70" i="3" l="1"/>
  <c r="FM66" i="3"/>
  <c r="PH37" i="10" l="1"/>
  <c r="PW11" i="10"/>
  <c r="PU37" i="10"/>
  <c r="PU38" i="10"/>
  <c r="PW38" i="10" s="1"/>
  <c r="PW12" i="10"/>
  <c r="PH38" i="10"/>
  <c r="PJ38" i="10" s="1"/>
  <c r="PJ37" i="10" l="1"/>
  <c r="PW37" i="10"/>
  <c r="PU5" i="10" l="1"/>
  <c r="PH34" i="10"/>
  <c r="PW8" i="10"/>
  <c r="PU34" i="10"/>
  <c r="PW17" i="10" l="1"/>
  <c r="PF43" i="10"/>
  <c r="PJ43" i="10" s="1"/>
  <c r="PS43" i="10"/>
  <c r="PW43" i="10" s="1"/>
  <c r="PU31" i="10"/>
  <c r="PW34" i="10"/>
  <c r="PW5" i="10"/>
  <c r="PJ34" i="10"/>
  <c r="PH31" i="10"/>
  <c r="PH40" i="10"/>
  <c r="PH36" i="10" s="1"/>
  <c r="PU40" i="10"/>
  <c r="PU36" i="10" s="1"/>
  <c r="PU10" i="10"/>
  <c r="PU19" i="10" s="1"/>
  <c r="PS10" i="10"/>
  <c r="PF40" i="10"/>
  <c r="PW14" i="10"/>
  <c r="PS40" i="10"/>
  <c r="PF36" i="10" l="1"/>
  <c r="PJ36" i="10" s="1"/>
  <c r="PS19" i="10"/>
  <c r="PW10" i="10"/>
  <c r="PW19" i="10" s="1"/>
  <c r="PW40" i="10"/>
  <c r="PS36" i="10"/>
  <c r="PJ40" i="10"/>
  <c r="PW31" i="10"/>
  <c r="PU45" i="10"/>
  <c r="PH45" i="10"/>
  <c r="PJ31" i="10"/>
  <c r="PJ45" i="10" l="1"/>
  <c r="PS45" i="10"/>
  <c r="PW36" i="10"/>
  <c r="PW45" i="10" s="1"/>
  <c r="PF45" i="10"/>
  <c r="PH46" i="10" l="1"/>
  <c r="PH48" i="10" s="1"/>
  <c r="PU46" i="10"/>
  <c r="PU48" i="10" s="1"/>
  <c r="PU22" i="10"/>
  <c r="PB46" i="10" l="1"/>
  <c r="PO22" i="10"/>
  <c r="PO46" i="10"/>
  <c r="PO48" i="10" l="1"/>
  <c r="PB48" i="10"/>
  <c r="PF46" i="10" l="1"/>
  <c r="PS46" i="10"/>
  <c r="PS22" i="10"/>
  <c r="PW20" i="10"/>
  <c r="PW22" i="10" s="1"/>
  <c r="PS48" i="10" l="1"/>
  <c r="PW46" i="10"/>
  <c r="PW48" i="10" s="1"/>
  <c r="PF48" i="10"/>
  <c r="PJ46" i="10"/>
  <c r="PJ48" i="10" s="1"/>
  <c r="BM23" i="3" l="1"/>
  <c r="FK5" i="3"/>
  <c r="FM5" i="3"/>
  <c r="BM64" i="3" l="1"/>
  <c r="FK23" i="3"/>
  <c r="FM23" i="3"/>
  <c r="BM68" i="3" l="1"/>
  <c r="FK64" i="3"/>
  <c r="FM64" i="3"/>
  <c r="FM68" i="3" s="1"/>
  <c r="FM70" i="3" l="1"/>
  <c r="BM70" i="3"/>
  <c r="FK66" i="3"/>
  <c r="FK68" i="3" s="1"/>
  <c r="FK70" i="3" s="1"/>
  <c r="OJ43" i="10" l="1"/>
  <c r="OU37" i="10" l="1"/>
  <c r="OU10" i="10"/>
  <c r="OS43" i="10"/>
  <c r="OW43" i="10" s="1"/>
  <c r="OW17" i="10"/>
  <c r="OU38" i="10"/>
  <c r="OU40" i="10"/>
  <c r="OU46" i="10"/>
  <c r="OS46" i="10"/>
  <c r="OB34" i="10"/>
  <c r="OH34" i="10"/>
  <c r="OU34" i="10" l="1"/>
  <c r="OU31" i="10" s="1"/>
  <c r="OU5" i="10"/>
  <c r="OU19" i="10" s="1"/>
  <c r="OU22" i="10" s="1"/>
  <c r="OU36" i="10"/>
  <c r="OO34" i="10"/>
  <c r="OW8" i="10"/>
  <c r="OW20" i="10"/>
  <c r="OO46" i="10"/>
  <c r="OW46" i="10" s="1"/>
  <c r="OW34" i="10" l="1"/>
  <c r="OU45" i="10"/>
  <c r="OU48" i="10" s="1"/>
  <c r="OB32" i="10" l="1"/>
  <c r="OW6" i="10" l="1"/>
  <c r="OO5" i="10"/>
  <c r="OO32" i="10"/>
  <c r="OB54" i="10" s="1"/>
  <c r="OO31" i="10" l="1"/>
  <c r="OW32" i="10"/>
  <c r="OW5" i="10"/>
  <c r="OW31" i="10" l="1"/>
  <c r="OW16" i="10" l="1"/>
  <c r="OS42" i="10" l="1"/>
  <c r="OW42" i="10" s="1"/>
  <c r="OJ42" i="10"/>
  <c r="OB39" i="10"/>
  <c r="OB37" i="10"/>
  <c r="OB38" i="10"/>
  <c r="OW12" i="10" l="1"/>
  <c r="OO38" i="10"/>
  <c r="OW38" i="10" s="1"/>
  <c r="OO10" i="10"/>
  <c r="OW11" i="10"/>
  <c r="OO37" i="10"/>
  <c r="OW13" i="10"/>
  <c r="OO39" i="10"/>
  <c r="OW39" i="10" s="1"/>
  <c r="OW37" i="10" l="1"/>
  <c r="OO36" i="10"/>
  <c r="OO19" i="10"/>
  <c r="OO22" i="10" s="1"/>
  <c r="OO45" i="10" l="1"/>
  <c r="OO48" i="10" s="1"/>
  <c r="OW14" i="10" l="1"/>
  <c r="OS40" i="10"/>
  <c r="OS10" i="10"/>
  <c r="OS19" i="10" l="1"/>
  <c r="OS22" i="10" s="1"/>
  <c r="OW10" i="10"/>
  <c r="OW19" i="10" s="1"/>
  <c r="OW22" i="10" s="1"/>
  <c r="OW40" i="10"/>
  <c r="OS36" i="10"/>
  <c r="OS45" i="10" l="1"/>
  <c r="OS48" i="10" s="1"/>
  <c r="OW36" i="10"/>
  <c r="OW45" i="10" s="1"/>
  <c r="OW48" i="10" s="1"/>
  <c r="BH39" i="1" l="1"/>
  <c r="BH41" i="1" s="1"/>
  <c r="BH92" i="1" s="1"/>
  <c r="NZ46" i="10" l="1"/>
  <c r="NZ22" i="10"/>
  <c r="OB46" i="10" l="1"/>
  <c r="OJ46" i="10" s="1"/>
  <c r="OJ20" i="10"/>
  <c r="OJ40" i="10" l="1"/>
  <c r="OH10" i="10"/>
  <c r="OH31" i="10"/>
  <c r="OH36" i="10" l="1"/>
  <c r="OH45" i="10" s="1"/>
  <c r="OH48" i="10" s="1"/>
  <c r="OH51" i="10" s="1"/>
  <c r="OJ14" i="10"/>
  <c r="OF10" i="10"/>
  <c r="OF19" i="10" s="1"/>
  <c r="OF22" i="10" s="1"/>
  <c r="OH5" i="10"/>
  <c r="OH19" i="10" s="1"/>
  <c r="OH22" i="10" s="1"/>
  <c r="OJ8" i="10"/>
  <c r="FH46" i="2" l="1"/>
  <c r="FH41" i="2" l="1"/>
  <c r="FH47" i="2" s="1"/>
  <c r="FH57" i="2" s="1"/>
  <c r="FH59" i="2" s="1"/>
  <c r="BH47" i="2"/>
  <c r="BH57" i="2" s="1"/>
  <c r="BH59" i="2" s="1"/>
  <c r="OF36" i="10" l="1"/>
  <c r="OJ33" i="10"/>
  <c r="NZ36" i="10" l="1"/>
  <c r="NZ31" i="10" l="1"/>
  <c r="OF31" i="10"/>
  <c r="OF45" i="10" s="1"/>
  <c r="OF48" i="10" s="1"/>
  <c r="OF51" i="10" s="1"/>
  <c r="OJ34" i="10"/>
  <c r="NZ45" i="10" l="1"/>
  <c r="NZ48" i="10" s="1"/>
  <c r="NZ51" i="10" s="1"/>
  <c r="OB5" i="10" l="1"/>
  <c r="OJ6" i="10"/>
  <c r="OB31" i="10"/>
  <c r="OJ32" i="10"/>
  <c r="OJ31" i="10" l="1"/>
  <c r="OJ5" i="10"/>
  <c r="OJ38" i="10" l="1"/>
  <c r="OJ12" i="10"/>
  <c r="OJ39" i="10"/>
  <c r="OJ13" i="10"/>
  <c r="OJ11" i="10" l="1"/>
  <c r="OB10" i="10"/>
  <c r="OB36" i="10"/>
  <c r="OJ37" i="10"/>
  <c r="OJ10" i="10" l="1"/>
  <c r="OJ19" i="10" s="1"/>
  <c r="OJ22" i="10" s="1"/>
  <c r="OB19" i="10"/>
  <c r="OB22" i="10" s="1"/>
  <c r="OJ36" i="10"/>
  <c r="OJ45" i="10" s="1"/>
  <c r="OJ48" i="10" s="1"/>
  <c r="OB45" i="10"/>
  <c r="OB48" i="10" s="1"/>
  <c r="OB51" i="10" s="1"/>
  <c r="OJ51" i="10" s="1"/>
  <c r="BG23" i="3" l="1"/>
  <c r="BG64" i="3" s="1"/>
  <c r="FG68" i="3" l="1"/>
  <c r="BG68" i="3"/>
  <c r="BE66" i="3" s="1"/>
  <c r="BC66" i="3" s="1"/>
  <c r="BC68" i="3" l="1"/>
  <c r="FA66" i="3" s="1"/>
  <c r="BA66" i="3"/>
  <c r="AY66" i="3" s="1"/>
  <c r="AY68" i="3" s="1"/>
  <c r="AW66" i="3" s="1"/>
  <c r="AU66" i="3" s="1"/>
  <c r="AS66" i="3" s="1"/>
  <c r="AQ66" i="3" s="1"/>
  <c r="FG70" i="3"/>
  <c r="FE66" i="3"/>
  <c r="BG70" i="3"/>
  <c r="EW66" i="3" l="1"/>
  <c r="AY70" i="3"/>
  <c r="BC70" i="3"/>
  <c r="AU68" i="3" l="1"/>
  <c r="NS46" i="10"/>
  <c r="NS5" i="10"/>
  <c r="NB32" i="10"/>
  <c r="AU70" i="3" l="1"/>
  <c r="ES66" i="3"/>
  <c r="NB39" i="10"/>
  <c r="NJ39" i="10" s="1"/>
  <c r="NO39" i="10"/>
  <c r="NW39" i="10" s="1"/>
  <c r="NB38" i="10"/>
  <c r="NJ38" i="10" s="1"/>
  <c r="NO38" i="10"/>
  <c r="NW38" i="10" s="1"/>
  <c r="NB31" i="10"/>
  <c r="NJ32" i="10"/>
  <c r="NO32" i="10"/>
  <c r="NO5" i="10"/>
  <c r="NS31" i="10"/>
  <c r="NB37" i="10" l="1"/>
  <c r="NJ37" i="10" s="1"/>
  <c r="NO37" i="10"/>
  <c r="NJ31" i="10"/>
  <c r="NO10" i="10"/>
  <c r="NO31" i="10"/>
  <c r="NB36" i="10" l="1"/>
  <c r="NB45" i="10" s="1"/>
  <c r="NB48" i="10" s="1"/>
  <c r="NO36" i="10"/>
  <c r="NO19" i="10"/>
  <c r="NO22" i="10" s="1"/>
  <c r="NO24" i="10" s="1"/>
  <c r="NB51" i="10" s="1"/>
  <c r="NO45" i="10" l="1"/>
  <c r="NO48" i="10" s="1"/>
  <c r="NO51" i="10" s="1"/>
  <c r="NU46" i="10" l="1"/>
  <c r="NW46" i="10" s="1"/>
  <c r="NW20" i="10"/>
  <c r="NW34" i="10" l="1"/>
  <c r="NW8" i="10"/>
  <c r="NU5" i="10" l="1"/>
  <c r="NW6" i="10"/>
  <c r="NW5" i="10" l="1"/>
  <c r="NU31" i="10"/>
  <c r="NW32" i="10"/>
  <c r="NW31" i="10" l="1"/>
  <c r="NW11" i="10" l="1"/>
  <c r="NW13" i="10"/>
  <c r="NW12" i="10"/>
  <c r="NW37" i="10" l="1"/>
  <c r="NU10" i="10" l="1"/>
  <c r="NU19" i="10" l="1"/>
  <c r="NU22" i="10" s="1"/>
  <c r="NU36" i="10"/>
  <c r="NU24" i="10" l="1"/>
  <c r="NU45" i="10"/>
  <c r="NU48" i="10" s="1"/>
  <c r="NU51" i="10" l="1"/>
  <c r="NH51" i="10"/>
  <c r="EZ16" i="2" l="1"/>
  <c r="BB71" i="2" l="1"/>
  <c r="FB16" i="2"/>
  <c r="FB66" i="2" l="1"/>
  <c r="FB71" i="2"/>
  <c r="EZ71" i="2"/>
  <c r="EZ17" i="2"/>
  <c r="EZ72" i="2" s="1"/>
  <c r="FB10" i="2" l="1"/>
  <c r="EZ10" i="2"/>
  <c r="FB18" i="2"/>
  <c r="EZ18" i="2"/>
  <c r="FB31" i="2"/>
  <c r="EZ31" i="2"/>
  <c r="FB15" i="2"/>
  <c r="EZ15" i="2"/>
  <c r="FB13" i="2"/>
  <c r="EZ13" i="2"/>
  <c r="FB12" i="2"/>
  <c r="EZ12" i="2"/>
  <c r="BB72" i="2"/>
  <c r="BB73" i="2" s="1"/>
  <c r="FB17" i="2"/>
  <c r="FB72" i="2" s="1"/>
  <c r="FB73" i="2" s="1"/>
  <c r="FB11" i="2" l="1"/>
  <c r="EZ11" i="2"/>
  <c r="FB14" i="2"/>
  <c r="EZ14" i="2"/>
  <c r="FB9" i="2"/>
  <c r="EZ9" i="2"/>
  <c r="BB20" i="2"/>
  <c r="BB22" i="2" s="1"/>
  <c r="BB75" i="2" s="1"/>
  <c r="EZ20" i="2" l="1"/>
  <c r="EZ22" i="2" s="1"/>
  <c r="EZ29" i="2" s="1"/>
  <c r="FB20" i="2"/>
  <c r="FB22" i="2" s="1"/>
  <c r="FB29" i="2" s="1"/>
  <c r="BB29" i="2"/>
  <c r="FB33" i="2" l="1"/>
  <c r="FB38" i="2" s="1"/>
  <c r="FB59" i="2" s="1"/>
  <c r="EZ33" i="2"/>
  <c r="EZ38" i="2" s="1"/>
  <c r="FB75" i="2"/>
  <c r="BB33" i="2"/>
  <c r="BB38" i="2" s="1"/>
  <c r="FB62" i="2" l="1"/>
  <c r="FB63" i="2" s="1"/>
  <c r="EZ59" i="2"/>
  <c r="EZ62" i="2"/>
  <c r="EZ63" i="2" s="1"/>
  <c r="BB59" i="2"/>
  <c r="BB62" i="2"/>
  <c r="BB63" i="2" s="1"/>
  <c r="BB52" i="1" l="1"/>
  <c r="BB56" i="1" s="1"/>
  <c r="BB95" i="1" l="1"/>
  <c r="BB90" i="1"/>
  <c r="BB92" i="1" s="1"/>
  <c r="MT41" i="10" l="1"/>
  <c r="MT40" i="10" l="1"/>
  <c r="MT39" i="10"/>
  <c r="MR39" i="10"/>
  <c r="MR38" i="10"/>
  <c r="MN33" i="10"/>
  <c r="ML46" i="10" l="1"/>
  <c r="MN34" i="10"/>
  <c r="MN46" i="10"/>
  <c r="MP46" i="10"/>
  <c r="MP43" i="10"/>
  <c r="ML33" i="10"/>
  <c r="MV33" i="10" s="1"/>
  <c r="MV7" i="10"/>
  <c r="MR46" i="10"/>
  <c r="MT34" i="10"/>
  <c r="MT31" i="10" s="1"/>
  <c r="MT5" i="10"/>
  <c r="MT46" i="10" l="1"/>
  <c r="MV46" i="10" s="1"/>
  <c r="MV20" i="10"/>
  <c r="EY5" i="3" l="1"/>
  <c r="FA5" i="3" l="1"/>
  <c r="ML37" i="10" l="1"/>
  <c r="MR40" i="10"/>
  <c r="MV14" i="10"/>
  <c r="MV17" i="10"/>
  <c r="MR43" i="10"/>
  <c r="MV43" i="10" s="1"/>
  <c r="MV15" i="10" l="1"/>
  <c r="MP41" i="10"/>
  <c r="MP10" i="10"/>
  <c r="MP19" i="10" s="1"/>
  <c r="MP22" i="10" s="1"/>
  <c r="MN37" i="10"/>
  <c r="MV40" i="10"/>
  <c r="MV41" i="10" l="1"/>
  <c r="MP36" i="10"/>
  <c r="MP45" i="10" s="1"/>
  <c r="MP48" i="10" s="1"/>
  <c r="MN32" i="10"/>
  <c r="MN5" i="10"/>
  <c r="MT38" i="10"/>
  <c r="MV12" i="10" l="1"/>
  <c r="ML39" i="10"/>
  <c r="MV11" i="10"/>
  <c r="MN38" i="10"/>
  <c r="MN10" i="10"/>
  <c r="MT37" i="10"/>
  <c r="MT10" i="10"/>
  <c r="MT19" i="10" s="1"/>
  <c r="MT22" i="10" s="1"/>
  <c r="MN39" i="10"/>
  <c r="MN31" i="10"/>
  <c r="ML32" i="10" l="1"/>
  <c r="MV32" i="10" s="1"/>
  <c r="MV6" i="10"/>
  <c r="MR34" i="10"/>
  <c r="MR31" i="10" s="1"/>
  <c r="MR5" i="10"/>
  <c r="ML38" i="10"/>
  <c r="ML36" i="10" s="1"/>
  <c r="ML10" i="10"/>
  <c r="MR37" i="10"/>
  <c r="MR36" i="10" s="1"/>
  <c r="MR10" i="10"/>
  <c r="MV13" i="10"/>
  <c r="MV39" i="10"/>
  <c r="MT36" i="10"/>
  <c r="MT45" i="10" s="1"/>
  <c r="MT48" i="10" s="1"/>
  <c r="MN19" i="10"/>
  <c r="MN22" i="10" s="1"/>
  <c r="MN36" i="10"/>
  <c r="MV38" i="10" l="1"/>
  <c r="MR19" i="10"/>
  <c r="MR22" i="10" s="1"/>
  <c r="MR45" i="10"/>
  <c r="MR48" i="10" s="1"/>
  <c r="MV10" i="10"/>
  <c r="MV36" i="10"/>
  <c r="MV37" i="10"/>
  <c r="MN45" i="10"/>
  <c r="MN48" i="10" s="1"/>
  <c r="ML34" i="10" l="1"/>
  <c r="ML5" i="10"/>
  <c r="MV8" i="10"/>
  <c r="MV5" i="10" l="1"/>
  <c r="MV19" i="10" s="1"/>
  <c r="MV22" i="10" s="1"/>
  <c r="ML19" i="10"/>
  <c r="ML22" i="10" s="1"/>
  <c r="MV34" i="10"/>
  <c r="ML31" i="10"/>
  <c r="ML45" i="10" l="1"/>
  <c r="ML48" i="10" s="1"/>
  <c r="MV31" i="10"/>
  <c r="MV45" i="10" s="1"/>
  <c r="MV48" i="10" s="1"/>
  <c r="ML51" i="10" l="1"/>
  <c r="FA34" i="3" l="1"/>
  <c r="EY34" i="3"/>
  <c r="EY29" i="3"/>
  <c r="FA29" i="3" l="1"/>
  <c r="FA7" i="3" l="1"/>
  <c r="EY7" i="3"/>
  <c r="FA42" i="3" l="1"/>
  <c r="EY42" i="3"/>
  <c r="FA43" i="3"/>
  <c r="EY43" i="3"/>
  <c r="FA40" i="3" l="1"/>
  <c r="EY40" i="3"/>
  <c r="FA14" i="3" l="1"/>
  <c r="EY14" i="3"/>
  <c r="MN51" i="10"/>
  <c r="MR51" i="10" l="1"/>
  <c r="MT51" i="10" l="1"/>
  <c r="MV51" i="10" s="1"/>
  <c r="MV24" i="10"/>
  <c r="FA19" i="3" l="1"/>
  <c r="EY19" i="3"/>
  <c r="FA17" i="3"/>
  <c r="EY17" i="3"/>
  <c r="FA18" i="3" l="1"/>
  <c r="EY18" i="3"/>
  <c r="FA52" i="3"/>
  <c r="EY52" i="3"/>
  <c r="FA16" i="3"/>
  <c r="EY16" i="3"/>
  <c r="FA22" i="3" l="1"/>
  <c r="EY22" i="3"/>
  <c r="EY38" i="3"/>
  <c r="FA15" i="3" l="1"/>
  <c r="EY15" i="3"/>
  <c r="BA6" i="3"/>
  <c r="EY6" i="3" s="1"/>
  <c r="FA38" i="3"/>
  <c r="BA45" i="3"/>
  <c r="EY50" i="3"/>
  <c r="FA45" i="3" l="1"/>
  <c r="EY45" i="3"/>
  <c r="FA50" i="3"/>
  <c r="BA62" i="3"/>
  <c r="EY62" i="3" s="1"/>
  <c r="FA6" i="3" l="1"/>
  <c r="BA23" i="3"/>
  <c r="FA62" i="3"/>
  <c r="FA23" i="3" l="1"/>
  <c r="EY23" i="3"/>
  <c r="BA64" i="3"/>
  <c r="FA64" i="3" l="1"/>
  <c r="FA68" i="3" s="1"/>
  <c r="EY64" i="3"/>
  <c r="BA68" i="3"/>
  <c r="FA70" i="3" l="1"/>
  <c r="EY66" i="3"/>
  <c r="EY68" i="3" s="1"/>
  <c r="EY70" i="3" s="1"/>
  <c r="BA70" i="3"/>
  <c r="AZ73" i="2" l="1"/>
  <c r="AZ75" i="2" s="1"/>
  <c r="EZ66" i="2"/>
  <c r="EZ73" i="2" s="1"/>
  <c r="EZ75" i="2" s="1"/>
  <c r="EV66" i="2" l="1"/>
  <c r="EV73" i="2" s="1"/>
  <c r="EV75" i="2" s="1"/>
  <c r="EX66" i="2"/>
  <c r="EX73" i="2" s="1"/>
  <c r="EX75" i="2" s="1"/>
  <c r="AX73" i="2"/>
  <c r="AX75" i="2" s="1"/>
  <c r="LU15" i="10" l="1"/>
  <c r="LS41" i="10"/>
  <c r="LU41" i="10" s="1"/>
  <c r="LF41" i="10"/>
  <c r="LH41" i="10" s="1"/>
  <c r="LS40" i="10"/>
  <c r="LF40" i="10"/>
  <c r="LS39" i="10"/>
  <c r="LF39" i="10"/>
  <c r="LS37" i="10"/>
  <c r="LF37" i="10"/>
  <c r="LS46" i="10"/>
  <c r="LF46" i="10"/>
  <c r="LS10" i="10"/>
  <c r="LS38" i="10" l="1"/>
  <c r="LS36" i="10" s="1"/>
  <c r="LF38" i="10"/>
  <c r="LF36" i="10" s="1"/>
  <c r="LS34" i="10"/>
  <c r="LU8" i="10"/>
  <c r="LS5" i="10"/>
  <c r="LS19" i="10" s="1"/>
  <c r="LS22" i="10" s="1"/>
  <c r="LS24" i="10" s="1"/>
  <c r="LF34" i="10"/>
  <c r="LH34" i="10" l="1"/>
  <c r="LF31" i="10"/>
  <c r="LF45" i="10" s="1"/>
  <c r="LF48" i="10" s="1"/>
  <c r="LF51" i="10" s="1"/>
  <c r="LU34" i="10"/>
  <c r="LS31" i="10"/>
  <c r="LS45" i="10" s="1"/>
  <c r="LS48" i="10" s="1"/>
  <c r="LS51" i="10" s="1"/>
  <c r="NQ43" i="10" l="1"/>
  <c r="NW43" i="10" s="1"/>
  <c r="ND43" i="10"/>
  <c r="NJ43" i="10" s="1"/>
  <c r="NW17" i="10"/>
  <c r="NS40" i="10"/>
  <c r="NF40" i="10"/>
  <c r="NS10" i="10"/>
  <c r="NS19" i="10" s="1"/>
  <c r="NS22" i="10" s="1"/>
  <c r="NS24" i="10" s="1"/>
  <c r="NW14" i="10"/>
  <c r="NQ41" i="10"/>
  <c r="NW15" i="10"/>
  <c r="ND41" i="10"/>
  <c r="NQ10" i="10"/>
  <c r="NW41" i="10" l="1"/>
  <c r="NQ36" i="10"/>
  <c r="NF36" i="10"/>
  <c r="NF45" i="10" s="1"/>
  <c r="NF48" i="10" s="1"/>
  <c r="NJ40" i="10"/>
  <c r="NQ19" i="10"/>
  <c r="NQ22" i="10" s="1"/>
  <c r="NW10" i="10"/>
  <c r="NW19" i="10" s="1"/>
  <c r="NW22" i="10" s="1"/>
  <c r="NF51" i="10"/>
  <c r="NJ51" i="10" s="1"/>
  <c r="NW24" i="10"/>
  <c r="NW40" i="10"/>
  <c r="NS36" i="10"/>
  <c r="NS45" i="10" s="1"/>
  <c r="NS48" i="10" s="1"/>
  <c r="NS51" i="10" s="1"/>
  <c r="NW51" i="10" s="1"/>
  <c r="NJ41" i="10"/>
  <c r="ND36" i="10"/>
  <c r="ND45" i="10" l="1"/>
  <c r="ND48" i="10" s="1"/>
  <c r="NJ36" i="10"/>
  <c r="NJ45" i="10" s="1"/>
  <c r="NJ48" i="10" s="1"/>
  <c r="NQ45" i="10"/>
  <c r="NQ48" i="10" s="1"/>
  <c r="NW36" i="10"/>
  <c r="NW45" i="10" s="1"/>
  <c r="NW48" i="10" s="1"/>
  <c r="FC57" i="3"/>
  <c r="FE57" i="3"/>
  <c r="FC20" i="3" l="1"/>
  <c r="BF75" i="1" l="1"/>
  <c r="BF21" i="1"/>
  <c r="BF61" i="1"/>
  <c r="FE32" i="3"/>
  <c r="FC32" i="3"/>
  <c r="FE33" i="3"/>
  <c r="FC33" i="3"/>
  <c r="FE42" i="3"/>
  <c r="FC42" i="3"/>
  <c r="FE13" i="3"/>
  <c r="FC13" i="3"/>
  <c r="FE34" i="3"/>
  <c r="FC34" i="3"/>
  <c r="FE43" i="3"/>
  <c r="FC43" i="3"/>
  <c r="FE55" i="3"/>
  <c r="FC55" i="3"/>
  <c r="FE41" i="3"/>
  <c r="FC41" i="3"/>
  <c r="FC12" i="3"/>
  <c r="FE12" i="3"/>
  <c r="FE27" i="3"/>
  <c r="FC27" i="3"/>
  <c r="BF86" i="1"/>
  <c r="FC28" i="3"/>
  <c r="FE28" i="3"/>
  <c r="FE49" i="3"/>
  <c r="BE62" i="3"/>
  <c r="FC49" i="3"/>
  <c r="FE8" i="3"/>
  <c r="FC8" i="3"/>
  <c r="FE16" i="3"/>
  <c r="FC16" i="3"/>
  <c r="FC29" i="3"/>
  <c r="FE29" i="3"/>
  <c r="FC50" i="3"/>
  <c r="FE50" i="3"/>
  <c r="FC59" i="3"/>
  <c r="FE59" i="3"/>
  <c r="FE11" i="3"/>
  <c r="FC11" i="3"/>
  <c r="FC53" i="3"/>
  <c r="FE53" i="3"/>
  <c r="FE14" i="3"/>
  <c r="FC14" i="3"/>
  <c r="FE35" i="3"/>
  <c r="FC35" i="3"/>
  <c r="FE56" i="3"/>
  <c r="FC56" i="3"/>
  <c r="BF39" i="1"/>
  <c r="FE15" i="3"/>
  <c r="FC15" i="3"/>
  <c r="FC58" i="3"/>
  <c r="FE58" i="3"/>
  <c r="FF4" i="2"/>
  <c r="FD4" i="2"/>
  <c r="BF7" i="2"/>
  <c r="FD5" i="2"/>
  <c r="FF5" i="2"/>
  <c r="FC9" i="3"/>
  <c r="FE9" i="3"/>
  <c r="FE17" i="3"/>
  <c r="FC17" i="3"/>
  <c r="FC30" i="3"/>
  <c r="FE30" i="3"/>
  <c r="FE39" i="3"/>
  <c r="FC39" i="3"/>
  <c r="FE51" i="3"/>
  <c r="FC51" i="3"/>
  <c r="FC60" i="3"/>
  <c r="FE60" i="3"/>
  <c r="FC19" i="3"/>
  <c r="FE19" i="3"/>
  <c r="BF70" i="1"/>
  <c r="FE44" i="3"/>
  <c r="FC44" i="3"/>
  <c r="BE6" i="3"/>
  <c r="FE7" i="3"/>
  <c r="FC7" i="3"/>
  <c r="FC36" i="3"/>
  <c r="FE36" i="3"/>
  <c r="FE10" i="3"/>
  <c r="FC10" i="3"/>
  <c r="FC18" i="3"/>
  <c r="FE18" i="3"/>
  <c r="FC31" i="3"/>
  <c r="FE31" i="3"/>
  <c r="FC40" i="3"/>
  <c r="FE40" i="3"/>
  <c r="FC52" i="3"/>
  <c r="FE52" i="3"/>
  <c r="FE61" i="3"/>
  <c r="FC61" i="3"/>
  <c r="BE45" i="3"/>
  <c r="BF41" i="1" l="1"/>
  <c r="BF88" i="1"/>
  <c r="FE45" i="3"/>
  <c r="FC45" i="3"/>
  <c r="BF22" i="2"/>
  <c r="BF29" i="2" s="1"/>
  <c r="BF73" i="2"/>
  <c r="FC6" i="3"/>
  <c r="FE6" i="3"/>
  <c r="FE62" i="3"/>
  <c r="FC62" i="3"/>
  <c r="FE38" i="3"/>
  <c r="FC38" i="3"/>
  <c r="FD7" i="2"/>
  <c r="FF7" i="2"/>
  <c r="BF75" i="2" l="1"/>
  <c r="BF33" i="2"/>
  <c r="BF38" i="2" s="1"/>
  <c r="FF73" i="2"/>
  <c r="FF22" i="2"/>
  <c r="FF29" i="2" s="1"/>
  <c r="FD22" i="2"/>
  <c r="FD29" i="2" s="1"/>
  <c r="FD73" i="2"/>
  <c r="FD75" i="2" l="1"/>
  <c r="FF75" i="2"/>
  <c r="FD33" i="2"/>
  <c r="FD38" i="2" s="1"/>
  <c r="FF33" i="2"/>
  <c r="FF38" i="2" s="1"/>
  <c r="BF52" i="1"/>
  <c r="BF56" i="1" s="1"/>
  <c r="BF59" i="2"/>
  <c r="BF62" i="2"/>
  <c r="BF63" i="2" s="1"/>
  <c r="FF59" i="2" l="1"/>
  <c r="FF62" i="2"/>
  <c r="FF63" i="2" s="1"/>
  <c r="BF95" i="1"/>
  <c r="BF90" i="1"/>
  <c r="BF92" i="1" s="1"/>
  <c r="FD59" i="2"/>
  <c r="FD62" i="2"/>
  <c r="FD63" i="2" s="1"/>
  <c r="LM46" i="10" l="1"/>
  <c r="LU46" i="10" s="1"/>
  <c r="LU20" i="10"/>
  <c r="KZ46" i="10"/>
  <c r="LH46" i="10" s="1"/>
  <c r="EU8" i="3" l="1"/>
  <c r="EW8" i="3"/>
  <c r="EW7" i="3" l="1"/>
  <c r="EU7" i="3"/>
  <c r="EW43" i="3" l="1"/>
  <c r="EU43" i="3"/>
  <c r="LU17" i="10" l="1"/>
  <c r="LQ43" i="10"/>
  <c r="LU43" i="10" s="1"/>
  <c r="LD43" i="10"/>
  <c r="LH43" i="10" s="1"/>
  <c r="LM38" i="10" l="1"/>
  <c r="LU38" i="10" s="1"/>
  <c r="KZ38" i="10"/>
  <c r="LH38" i="10" s="1"/>
  <c r="LU12" i="10"/>
  <c r="LM39" i="10" l="1"/>
  <c r="LU39" i="10" s="1"/>
  <c r="LU13" i="10"/>
  <c r="KZ39" i="10"/>
  <c r="LH39" i="10" s="1"/>
  <c r="LQ40" i="10"/>
  <c r="LU14" i="10"/>
  <c r="LD40" i="10"/>
  <c r="LQ10" i="10"/>
  <c r="LQ19" i="10" s="1"/>
  <c r="LQ22" i="10" s="1"/>
  <c r="LQ24" i="10" s="1"/>
  <c r="LD51" i="10" s="1"/>
  <c r="LM37" i="10"/>
  <c r="LM10" i="10"/>
  <c r="KZ37" i="10"/>
  <c r="LU11" i="10"/>
  <c r="KZ36" i="10" l="1"/>
  <c r="LH37" i="10"/>
  <c r="LU37" i="10"/>
  <c r="LM36" i="10"/>
  <c r="LD36" i="10"/>
  <c r="LD45" i="10" s="1"/>
  <c r="LD48" i="10" s="1"/>
  <c r="LH40" i="10"/>
  <c r="LU40" i="10"/>
  <c r="LQ36" i="10"/>
  <c r="LQ45" i="10" s="1"/>
  <c r="LQ48" i="10" s="1"/>
  <c r="LQ51" i="10" s="1"/>
  <c r="LU10" i="10"/>
  <c r="LU36" i="10" l="1"/>
  <c r="LH36" i="10"/>
  <c r="LM32" i="10" l="1"/>
  <c r="LU6" i="10"/>
  <c r="LM5" i="10"/>
  <c r="KZ32" i="10"/>
  <c r="KZ31" i="10" l="1"/>
  <c r="LH32" i="10"/>
  <c r="LU5" i="10"/>
  <c r="LU19" i="10" s="1"/>
  <c r="LU22" i="10" s="1"/>
  <c r="LM19" i="10"/>
  <c r="LM22" i="10" s="1"/>
  <c r="LM24" i="10" s="1"/>
  <c r="LM31" i="10"/>
  <c r="LU32" i="10"/>
  <c r="LU31" i="10" l="1"/>
  <c r="LU45" i="10" s="1"/>
  <c r="LU48" i="10" s="1"/>
  <c r="LM45" i="10"/>
  <c r="LM48" i="10" s="1"/>
  <c r="LM51" i="10" s="1"/>
  <c r="LU51" i="10" s="1"/>
  <c r="KZ51" i="10"/>
  <c r="LH51" i="10" s="1"/>
  <c r="LU24" i="10"/>
  <c r="LH31" i="10"/>
  <c r="LH45" i="10" s="1"/>
  <c r="LH48" i="10" s="1"/>
  <c r="KZ45" i="10"/>
  <c r="KZ48" i="10" s="1"/>
  <c r="FE5" i="3" l="1"/>
  <c r="FC5" i="3"/>
  <c r="BE23" i="3"/>
  <c r="FC23" i="3" l="1"/>
  <c r="FE23" i="3"/>
  <c r="BE64" i="3"/>
  <c r="FC64" i="3" l="1"/>
  <c r="FE64" i="3"/>
  <c r="FE68" i="3" s="1"/>
  <c r="BE68" i="3"/>
  <c r="FC66" i="3" l="1"/>
  <c r="FC68" i="3" s="1"/>
  <c r="FC70" i="3" s="1"/>
  <c r="BE70" i="3"/>
  <c r="FE70" i="3"/>
  <c r="EW17" i="3" l="1"/>
  <c r="EU17" i="3"/>
  <c r="EW18" i="3" l="1"/>
  <c r="EU18" i="3"/>
  <c r="EW15" i="3"/>
  <c r="EU15" i="3"/>
  <c r="EU40" i="3"/>
  <c r="EW40" i="3"/>
  <c r="EW16" i="3" l="1"/>
  <c r="EU16" i="3"/>
  <c r="EW42" i="3"/>
  <c r="EU42" i="3"/>
  <c r="EW14" i="3" l="1"/>
  <c r="EU14" i="3"/>
  <c r="EU49" i="3" l="1"/>
  <c r="AW62" i="3"/>
  <c r="EW49" i="3"/>
  <c r="EU62" i="3" l="1"/>
  <c r="EW62" i="3"/>
  <c r="AW45" i="3" l="1"/>
  <c r="EU38" i="3"/>
  <c r="EW38" i="3"/>
  <c r="EU45" i="3" l="1"/>
  <c r="EW45" i="3"/>
  <c r="EW19" i="3" l="1"/>
  <c r="EU19" i="3"/>
  <c r="AW6" i="3"/>
  <c r="EU6" i="3" l="1"/>
  <c r="EW6" i="3"/>
  <c r="AW23" i="3"/>
  <c r="AW64" i="3" l="1"/>
  <c r="EU23" i="3"/>
  <c r="EW23" i="3"/>
  <c r="EU64" i="3" l="1"/>
  <c r="EW64" i="3"/>
  <c r="EW68" i="3" s="1"/>
  <c r="AW68" i="3"/>
  <c r="AW70" i="3" l="1"/>
  <c r="EU66" i="3"/>
  <c r="EU68" i="3" s="1"/>
  <c r="EU70" i="3" s="1"/>
  <c r="EW70" i="3"/>
  <c r="ES60" i="13" l="1"/>
  <c r="ES7" i="13" l="1"/>
  <c r="EQ7" i="13"/>
  <c r="ES42" i="13" l="1"/>
  <c r="ES35" i="13" l="1"/>
  <c r="ES28" i="13" l="1"/>
  <c r="ES14" i="13" l="1"/>
  <c r="ES39" i="13" l="1"/>
  <c r="ES15" i="13" l="1"/>
  <c r="ES41" i="13"/>
  <c r="ES18" i="13" l="1"/>
  <c r="ES17" i="13"/>
  <c r="ES19" i="13"/>
  <c r="ES16" i="13"/>
  <c r="AS6" i="13"/>
  <c r="ES6" i="13" l="1"/>
  <c r="AS22" i="13"/>
  <c r="ES22" i="13" l="1"/>
  <c r="ES51" i="13"/>
  <c r="ES37" i="13" l="1"/>
  <c r="AS44" i="13"/>
  <c r="ES44" i="13" l="1"/>
  <c r="ES55" i="13" l="1"/>
  <c r="ES49" i="13" l="1"/>
  <c r="AS61" i="13"/>
  <c r="ES61" i="13" l="1"/>
  <c r="AS63" i="13"/>
  <c r="ES63" i="13" l="1"/>
  <c r="ES67" i="13" s="1"/>
  <c r="EQ65" i="13" s="1"/>
  <c r="AS67" i="13"/>
  <c r="ES69" i="13" l="1"/>
  <c r="AS69" i="13"/>
  <c r="JJ36" i="10" l="1"/>
  <c r="JJ31" i="10"/>
  <c r="KD38" i="10"/>
  <c r="KR38" i="10"/>
  <c r="KD46" i="10"/>
  <c r="KF46" i="10" s="1"/>
  <c r="KR46" i="10"/>
  <c r="KT46" i="10" s="1"/>
  <c r="KT20" i="10"/>
  <c r="JR46" i="10" s="1"/>
  <c r="KR5" i="10"/>
  <c r="KD34" i="10"/>
  <c r="KT8" i="10"/>
  <c r="JR34" i="10" s="1"/>
  <c r="KR34" i="10"/>
  <c r="KR39" i="10"/>
  <c r="KD39" i="10"/>
  <c r="KR40" i="10"/>
  <c r="KD40" i="10"/>
  <c r="KD41" i="10"/>
  <c r="KF41" i="10" s="1"/>
  <c r="KT15" i="10"/>
  <c r="JR41" i="10" s="1"/>
  <c r="KR41" i="10"/>
  <c r="KT41" i="10" s="1"/>
  <c r="KR37" i="10"/>
  <c r="KR10" i="10"/>
  <c r="JJ45" i="10" l="1"/>
  <c r="JJ48" i="10" s="1"/>
  <c r="KR19" i="10"/>
  <c r="KR22" i="10" s="1"/>
  <c r="KR24" i="10" s="1"/>
  <c r="KR36" i="10"/>
  <c r="KB43" i="10"/>
  <c r="KF43" i="10" s="1"/>
  <c r="KP43" i="10"/>
  <c r="KT43" i="10" s="1"/>
  <c r="KT17" i="10"/>
  <c r="JR43" i="10" s="1"/>
  <c r="KD31" i="10"/>
  <c r="KF34" i="10"/>
  <c r="KR31" i="10"/>
  <c r="KT34" i="10"/>
  <c r="KR45" i="10" l="1"/>
  <c r="KR48" i="10" s="1"/>
  <c r="KR51" i="10"/>
  <c r="ES7" i="3" l="1"/>
  <c r="JH36" i="10" l="1"/>
  <c r="JX39" i="10"/>
  <c r="KF39" i="10" s="1"/>
  <c r="KL39" i="10"/>
  <c r="KT39" i="10" s="1"/>
  <c r="KT13" i="10"/>
  <c r="JR39" i="10" s="1"/>
  <c r="ES49" i="3"/>
  <c r="KT14" i="10"/>
  <c r="JR40" i="10" s="1"/>
  <c r="KP40" i="10"/>
  <c r="KB40" i="10"/>
  <c r="KP10" i="10"/>
  <c r="KP19" i="10" s="1"/>
  <c r="KP22" i="10" s="1"/>
  <c r="KP24" i="10" s="1"/>
  <c r="JR51" i="10" s="1"/>
  <c r="ES61" i="3"/>
  <c r="ES52" i="3"/>
  <c r="JH45" i="10" l="1"/>
  <c r="JH48" i="10" s="1"/>
  <c r="KB36" i="10"/>
  <c r="KB45" i="10" s="1"/>
  <c r="KB48" i="10" s="1"/>
  <c r="KF40" i="10"/>
  <c r="ES43" i="3"/>
  <c r="KT12" i="10"/>
  <c r="JR38" i="10" s="1"/>
  <c r="KL38" i="10"/>
  <c r="KT38" i="10" s="1"/>
  <c r="JX38" i="10"/>
  <c r="KT11" i="10"/>
  <c r="JX37" i="10"/>
  <c r="KL10" i="10"/>
  <c r="KT10" i="10" s="1"/>
  <c r="KL37" i="10"/>
  <c r="KP36" i="10"/>
  <c r="KP45" i="10" s="1"/>
  <c r="KP48" i="10" s="1"/>
  <c r="KT40" i="10"/>
  <c r="ES14" i="3"/>
  <c r="KP51" i="10"/>
  <c r="KB51" i="10"/>
  <c r="JL36" i="10" l="1"/>
  <c r="JR36" i="10" s="1"/>
  <c r="JR37" i="10"/>
  <c r="AS6" i="3"/>
  <c r="ES6" i="3" s="1"/>
  <c r="ES19" i="3"/>
  <c r="ES18" i="3"/>
  <c r="JX36" i="10"/>
  <c r="KF38" i="10"/>
  <c r="ES38" i="3"/>
  <c r="KL36" i="10"/>
  <c r="KT37" i="10"/>
  <c r="ES17" i="3"/>
  <c r="KL32" i="10"/>
  <c r="KL5" i="10"/>
  <c r="KT6" i="10"/>
  <c r="JX32" i="10"/>
  <c r="ES16" i="3"/>
  <c r="ES15" i="3"/>
  <c r="JL31" i="10" l="1"/>
  <c r="JR32" i="10"/>
  <c r="AS23" i="3"/>
  <c r="ES23" i="3" s="1"/>
  <c r="JX31" i="10"/>
  <c r="KF32" i="10"/>
  <c r="KT36" i="10"/>
  <c r="ES34" i="3"/>
  <c r="ES40" i="3"/>
  <c r="ES50" i="3"/>
  <c r="KL19" i="10"/>
  <c r="KL22" i="10" s="1"/>
  <c r="KL24" i="10" s="1"/>
  <c r="KT5" i="10"/>
  <c r="KT19" i="10" s="1"/>
  <c r="KT22" i="10" s="1"/>
  <c r="KL31" i="10"/>
  <c r="KT31" i="10" s="1"/>
  <c r="KT32" i="10"/>
  <c r="ES29" i="3"/>
  <c r="AS45" i="3"/>
  <c r="ES42" i="3"/>
  <c r="JL45" i="10" l="1"/>
  <c r="JL48" i="10" s="1"/>
  <c r="JR31" i="10"/>
  <c r="JR45" i="10" s="1"/>
  <c r="JR48" i="10" s="1"/>
  <c r="KT45" i="10"/>
  <c r="KT48" i="10" s="1"/>
  <c r="JX51" i="10"/>
  <c r="KL51" i="10"/>
  <c r="KT51" i="10" s="1"/>
  <c r="KT24" i="10"/>
  <c r="ES45" i="3"/>
  <c r="KL45" i="10"/>
  <c r="KL48" i="10" s="1"/>
  <c r="JX45" i="10"/>
  <c r="JX48" i="10" s="1"/>
  <c r="KF31" i="10"/>
  <c r="ES56" i="3" l="1"/>
  <c r="AS62" i="3"/>
  <c r="ES62" i="3" l="1"/>
  <c r="AS64" i="3"/>
  <c r="ES64" i="3" l="1"/>
  <c r="ES68" i="3" s="1"/>
  <c r="AS68" i="3"/>
  <c r="AS70" i="3" l="1"/>
  <c r="EQ66" i="3"/>
  <c r="ES70" i="3"/>
  <c r="EQ7" i="3" l="1"/>
  <c r="EQ13" i="3" l="1"/>
  <c r="EQ8" i="3"/>
  <c r="EQ12" i="3"/>
  <c r="EQ20" i="3"/>
  <c r="EQ9" i="3"/>
  <c r="EQ10" i="3" l="1"/>
  <c r="EQ11" i="3"/>
  <c r="EQ22" i="3" l="1"/>
  <c r="ER67" i="2" l="1"/>
  <c r="AQ43" i="4" l="1"/>
  <c r="AQ45" i="4" s="1"/>
  <c r="EQ41" i="4"/>
  <c r="EQ43" i="4" s="1"/>
  <c r="EQ45" i="4" s="1"/>
  <c r="EQ60" i="13" l="1"/>
  <c r="EQ42" i="13" l="1"/>
  <c r="EQ35" i="13" l="1"/>
  <c r="EQ28" i="13" l="1"/>
  <c r="EQ39" i="13" l="1"/>
  <c r="EQ41" i="13"/>
  <c r="EQ14" i="13"/>
  <c r="EQ15" i="13" l="1"/>
  <c r="EQ19" i="13" l="1"/>
  <c r="EQ18" i="13"/>
  <c r="EQ17" i="13"/>
  <c r="EQ51" i="13" l="1"/>
  <c r="EQ16" i="13" l="1"/>
  <c r="AQ6" i="13"/>
  <c r="AQ22" i="13" l="1"/>
  <c r="EQ22" i="13" s="1"/>
  <c r="EQ6" i="13"/>
  <c r="EQ37" i="13"/>
  <c r="AQ44" i="13"/>
  <c r="EQ44" i="13" s="1"/>
  <c r="EQ55" i="13" l="1"/>
  <c r="AQ61" i="13" l="1"/>
  <c r="EQ61" i="13" s="1"/>
  <c r="EQ49" i="13"/>
  <c r="AQ63" i="13" l="1"/>
  <c r="AQ67" i="13" l="1"/>
  <c r="AI65" i="13" s="1"/>
  <c r="AI67" i="13" s="1"/>
  <c r="EQ63" i="13"/>
  <c r="EQ67" i="13" s="1"/>
  <c r="EO65" i="13" s="1"/>
  <c r="EO67" i="13" s="1"/>
  <c r="EM65" i="13" s="1"/>
  <c r="EM67" i="13" s="1"/>
  <c r="EK65" i="13" s="1"/>
  <c r="AG65" i="13" l="1"/>
  <c r="AI69" i="13"/>
  <c r="AK65" i="13"/>
  <c r="AM65" i="13"/>
  <c r="AM67" i="13" s="1"/>
  <c r="AO65" i="13"/>
  <c r="AO67" i="13" s="1"/>
  <c r="EQ69" i="13"/>
  <c r="AQ69" i="13"/>
  <c r="AG67" i="13" l="1"/>
  <c r="AE65" i="13"/>
  <c r="EO69" i="13"/>
  <c r="AO69" i="13"/>
  <c r="AM69" i="13"/>
  <c r="EM69" i="13"/>
  <c r="EQ61" i="3"/>
  <c r="AG69" i="13" l="1"/>
  <c r="AC65" i="13"/>
  <c r="AE67" i="13"/>
  <c r="EQ49" i="3"/>
  <c r="EQ43" i="3"/>
  <c r="AE69" i="13" l="1"/>
  <c r="AA65" i="13"/>
  <c r="AA67" i="13" s="1"/>
  <c r="AC67" i="13"/>
  <c r="EQ15" i="3"/>
  <c r="EQ16" i="3"/>
  <c r="EQ17" i="3"/>
  <c r="EQ18" i="3"/>
  <c r="AC69" i="13" l="1"/>
  <c r="AA69" i="13"/>
  <c r="Y65" i="13"/>
  <c r="EQ14" i="3"/>
  <c r="EQ42" i="3"/>
  <c r="EQ34" i="3"/>
  <c r="EQ40" i="3"/>
  <c r="Y67" i="13" l="1"/>
  <c r="W65" i="13"/>
  <c r="EQ29" i="3"/>
  <c r="W67" i="13" l="1"/>
  <c r="W69" i="13" s="1"/>
  <c r="U65" i="13"/>
  <c r="S65" i="13" s="1"/>
  <c r="Y69" i="13"/>
  <c r="EQ50" i="3"/>
  <c r="EQ52" i="3" l="1"/>
  <c r="KF11" i="10" l="1"/>
  <c r="KD10" i="10"/>
  <c r="KD37" i="10"/>
  <c r="IX36" i="10" l="1"/>
  <c r="JD37" i="10"/>
  <c r="KD19" i="10"/>
  <c r="KD22" i="10" s="1"/>
  <c r="KD24" i="10" s="1"/>
  <c r="KF10" i="10"/>
  <c r="KF19" i="10" s="1"/>
  <c r="KF22" i="10" s="1"/>
  <c r="KD36" i="10"/>
  <c r="KF37" i="10"/>
  <c r="IX45" i="10" l="1"/>
  <c r="IX48" i="10" s="1"/>
  <c r="JD36" i="10"/>
  <c r="KD45" i="10"/>
  <c r="KD48" i="10" s="1"/>
  <c r="KF36" i="10"/>
  <c r="KF45" i="10" s="1"/>
  <c r="KF48" i="10" s="1"/>
  <c r="ER66" i="2"/>
  <c r="ER73" i="2" s="1"/>
  <c r="ER75" i="2" s="1"/>
  <c r="AR73" i="2"/>
  <c r="AR75" i="2" s="1"/>
  <c r="KF24" i="10"/>
  <c r="KD51" i="10"/>
  <c r="KF51" i="10" s="1"/>
  <c r="EQ38" i="3" l="1"/>
  <c r="EQ45" i="3"/>
  <c r="EQ19" i="3" l="1"/>
  <c r="AQ6" i="3"/>
  <c r="AQ23" i="3" l="1"/>
  <c r="EQ6" i="3"/>
  <c r="EQ56" i="3" l="1"/>
  <c r="AQ62" i="3"/>
  <c r="EQ62" i="3" s="1"/>
  <c r="EQ23" i="3"/>
  <c r="AQ64" i="3" l="1"/>
  <c r="AQ68" i="3" l="1"/>
  <c r="EQ64" i="3"/>
  <c r="EQ68" i="3" s="1"/>
  <c r="AI66" i="3" l="1"/>
  <c r="AK66" i="3"/>
  <c r="EO66" i="3"/>
  <c r="EO68" i="3" s="1"/>
  <c r="EM66" i="3" s="1"/>
  <c r="EM68" i="3" s="1"/>
  <c r="EK66" i="3" s="1"/>
  <c r="AM66" i="3"/>
  <c r="AM68" i="3" s="1"/>
  <c r="AO66" i="3"/>
  <c r="AO68" i="3" s="1"/>
  <c r="AQ70" i="3"/>
  <c r="EQ70" i="3"/>
  <c r="EO70" i="3" l="1"/>
  <c r="AO70" i="3"/>
  <c r="AM70" i="3"/>
  <c r="EM70" i="3"/>
  <c r="IH32" i="10"/>
  <c r="IH34" i="10"/>
  <c r="IP34" i="10" l="1"/>
  <c r="IV34" i="10"/>
  <c r="JD34" i="10" s="1"/>
  <c r="JD8" i="10"/>
  <c r="IV32" i="10"/>
  <c r="JD6" i="10"/>
  <c r="IV5" i="10"/>
  <c r="IV31" i="10" l="1"/>
  <c r="JD32" i="10"/>
  <c r="IH31" i="10"/>
  <c r="IP32" i="10"/>
  <c r="JD5" i="10"/>
  <c r="JD19" i="10" s="1"/>
  <c r="JD22" i="10" s="1"/>
  <c r="IV19" i="10"/>
  <c r="IV22" i="10" s="1"/>
  <c r="IV24" i="10" s="1"/>
  <c r="IH51" i="10" s="1"/>
  <c r="IP51" i="10" s="1"/>
  <c r="JD24" i="10" l="1"/>
  <c r="IV51" i="10"/>
  <c r="JD51" i="10" s="1"/>
  <c r="IH45" i="10"/>
  <c r="IH48" i="10" s="1"/>
  <c r="IP31" i="10"/>
  <c r="IP45" i="10" s="1"/>
  <c r="IP48" i="10" s="1"/>
  <c r="IV45" i="10"/>
  <c r="IV48" i="10" s="1"/>
  <c r="JD31" i="10"/>
  <c r="JD45" i="10" s="1"/>
  <c r="JD48" i="10" s="1"/>
  <c r="EK60" i="13" l="1"/>
  <c r="EI60" i="13"/>
  <c r="EK7" i="13" l="1"/>
  <c r="EI7" i="13"/>
  <c r="EK42" i="13" l="1"/>
  <c r="EI42" i="13"/>
  <c r="EK35" i="13" l="1"/>
  <c r="EI35" i="13"/>
  <c r="EK28" i="13" l="1"/>
  <c r="EI28" i="13"/>
  <c r="EK14" i="13" l="1"/>
  <c r="EI14" i="13"/>
  <c r="EK39" i="13" l="1"/>
  <c r="EI39" i="13"/>
  <c r="EK15" i="13"/>
  <c r="EI15" i="13"/>
  <c r="EK41" i="13"/>
  <c r="EI41" i="13"/>
  <c r="EK17" i="13" l="1"/>
  <c r="EI17" i="13"/>
  <c r="EK18" i="13"/>
  <c r="EI18" i="13"/>
  <c r="EK19" i="13"/>
  <c r="EI19" i="13"/>
  <c r="EK16" i="13" l="1"/>
  <c r="EI16" i="13"/>
  <c r="EK51" i="13"/>
  <c r="EI51" i="13"/>
  <c r="AK6" i="13"/>
  <c r="EK37" i="13" l="1"/>
  <c r="EK44" i="13" s="1"/>
  <c r="EI37" i="13"/>
  <c r="EI44" i="13" s="1"/>
  <c r="EK6" i="13"/>
  <c r="EK22" i="13" s="1"/>
  <c r="EI6" i="13"/>
  <c r="EI22" i="13" s="1"/>
  <c r="AK44" i="13"/>
  <c r="AK22" i="13"/>
  <c r="EK55" i="13" l="1"/>
  <c r="EI55" i="13"/>
  <c r="EK49" i="13" l="1"/>
  <c r="EK61" i="13" s="1"/>
  <c r="EK63" i="13" s="1"/>
  <c r="EK67" i="13" s="1"/>
  <c r="EI65" i="13" s="1"/>
  <c r="EI49" i="13"/>
  <c r="EI61" i="13" s="1"/>
  <c r="EI63" i="13" s="1"/>
  <c r="AK61" i="13"/>
  <c r="AK63" i="13" s="1"/>
  <c r="AK67" i="13" s="1"/>
  <c r="EI67" i="13" l="1"/>
  <c r="EG65" i="13" s="1"/>
  <c r="EG67" i="13" s="1"/>
  <c r="EG69" i="13" s="1"/>
  <c r="AK69" i="13"/>
  <c r="EK69" i="13"/>
  <c r="EI69" i="13" l="1"/>
  <c r="EE65" i="13"/>
  <c r="EE67" i="13" s="1"/>
  <c r="EE69" i="13" s="1"/>
  <c r="EI13" i="3"/>
  <c r="EC65" i="13" l="1"/>
  <c r="EC67" i="13" s="1"/>
  <c r="EC69" i="13" s="1"/>
  <c r="EK32" i="3"/>
  <c r="EI32" i="3"/>
  <c r="AK6" i="3"/>
  <c r="AK23" i="3" s="1"/>
  <c r="AK64" i="3" s="1"/>
  <c r="AK68" i="3" s="1"/>
  <c r="AK70" i="3" s="1"/>
  <c r="EK13" i="3"/>
  <c r="EK6" i="3" s="1"/>
  <c r="EK23" i="3" s="1"/>
  <c r="EA65" i="13" l="1"/>
  <c r="EA67" i="13" s="1"/>
  <c r="DY65" i="13" s="1"/>
  <c r="DY67" i="13" s="1"/>
  <c r="EK52" i="3"/>
  <c r="EK62" i="3" s="1"/>
  <c r="EK64" i="3" s="1"/>
  <c r="EK68" i="3" s="1"/>
  <c r="EA69" i="13" l="1"/>
  <c r="DY69" i="13"/>
  <c r="DW65" i="13"/>
  <c r="DW67" i="13" s="1"/>
  <c r="EK70" i="3"/>
  <c r="EI66" i="3"/>
  <c r="DW69" i="13" l="1"/>
  <c r="DU65" i="13"/>
  <c r="AI6" i="3"/>
  <c r="AI23" i="3" s="1"/>
  <c r="EI10" i="3"/>
  <c r="EI6" i="3" s="1"/>
  <c r="EI23" i="3" s="1"/>
  <c r="AI29" i="3"/>
  <c r="EI33" i="3"/>
  <c r="EI29" i="3" l="1"/>
  <c r="EI45" i="3" s="1"/>
  <c r="AI45" i="3"/>
  <c r="EI49" i="3" l="1"/>
  <c r="EI62" i="3" s="1"/>
  <c r="EI64" i="3" s="1"/>
  <c r="EI68" i="3" s="1"/>
  <c r="EG66" i="3" s="1"/>
  <c r="EG68" i="3" s="1"/>
  <c r="EE66" i="3" s="1"/>
  <c r="EE68" i="3" s="1"/>
  <c r="EC66" i="3" s="1"/>
  <c r="AI62" i="3"/>
  <c r="AI64" i="3" s="1"/>
  <c r="AI68" i="3" s="1"/>
  <c r="AG66" i="3" s="1"/>
  <c r="AE66" i="3" l="1"/>
  <c r="AG68" i="3"/>
  <c r="AG70" i="3" s="1"/>
  <c r="EI70" i="3"/>
  <c r="AI70" i="3"/>
  <c r="EG70" i="3" l="1"/>
  <c r="AC66" i="3"/>
  <c r="AE68" i="3"/>
  <c r="AE70" i="3" s="1"/>
  <c r="EE70" i="3" l="1"/>
  <c r="AA66" i="3"/>
  <c r="GX46" i="10"/>
  <c r="GX39" i="10"/>
  <c r="GV39" i="10" l="1"/>
  <c r="GR37" i="10"/>
  <c r="GX37" i="10"/>
  <c r="GR46" i="10"/>
  <c r="GX34" i="10"/>
  <c r="GZ8" i="10"/>
  <c r="GX5" i="10"/>
  <c r="GV46" i="10"/>
  <c r="GZ46" i="10" l="1"/>
  <c r="GZ20" i="10"/>
  <c r="GX31" i="10"/>
  <c r="GZ34" i="10"/>
  <c r="GX43" i="10" l="1"/>
  <c r="GR39" i="10"/>
  <c r="GV40" i="10" l="1"/>
  <c r="GX41" i="10"/>
  <c r="GZ41" i="10" s="1"/>
  <c r="GZ15" i="10"/>
  <c r="GR38" i="10"/>
  <c r="GR36" i="10" s="1"/>
  <c r="GR10" i="10"/>
  <c r="GP37" i="10" l="1"/>
  <c r="GZ11" i="10"/>
  <c r="GP38" i="10"/>
  <c r="GZ37" i="10" l="1"/>
  <c r="GP39" i="10" l="1"/>
  <c r="GZ13" i="10"/>
  <c r="GP10" i="10"/>
  <c r="GP32" i="10"/>
  <c r="GP5" i="10"/>
  <c r="GZ6" i="10"/>
  <c r="GP19" i="10" l="1"/>
  <c r="GP22" i="10" s="1"/>
  <c r="GP24" i="10" s="1"/>
  <c r="GP31" i="10"/>
  <c r="GV43" i="10"/>
  <c r="GZ43" i="10" s="1"/>
  <c r="GZ17" i="10"/>
  <c r="GR32" i="10"/>
  <c r="GR31" i="10" s="1"/>
  <c r="GR45" i="10" s="1"/>
  <c r="GR48" i="10" s="1"/>
  <c r="GR5" i="10"/>
  <c r="GR19" i="10" s="1"/>
  <c r="GR22" i="10" s="1"/>
  <c r="GR24" i="10" s="1"/>
  <c r="GR51" i="10" s="1"/>
  <c r="GZ39" i="10"/>
  <c r="GP36" i="10"/>
  <c r="GP45" i="10" l="1"/>
  <c r="GP48" i="10" s="1"/>
  <c r="GZ31" i="10"/>
  <c r="GZ32" i="10"/>
  <c r="GP51" i="10"/>
  <c r="GZ5" i="10"/>
  <c r="GX38" i="10" l="1"/>
  <c r="GZ12" i="10"/>
  <c r="GX40" i="10" l="1"/>
  <c r="GZ40" i="10" s="1"/>
  <c r="GZ14" i="10"/>
  <c r="GX10" i="10"/>
  <c r="GX19" i="10" s="1"/>
  <c r="GX22" i="10" s="1"/>
  <c r="GX24" i="10" s="1"/>
  <c r="GX51" i="10" s="1"/>
  <c r="GZ38" i="10"/>
  <c r="GX36" i="10" l="1"/>
  <c r="GX45" i="10" s="1"/>
  <c r="GX48" i="10" s="1"/>
  <c r="GV42" i="10" l="1"/>
  <c r="GZ16" i="10"/>
  <c r="GV10" i="10"/>
  <c r="GV19" i="10" l="1"/>
  <c r="GV22" i="10" s="1"/>
  <c r="GZ10" i="10"/>
  <c r="GZ19" i="10" s="1"/>
  <c r="GZ22" i="10" s="1"/>
  <c r="GZ42" i="10"/>
  <c r="GV36" i="10"/>
  <c r="GV45" i="10" l="1"/>
  <c r="GV48" i="10" s="1"/>
  <c r="GZ36" i="10"/>
  <c r="GZ45" i="10" s="1"/>
  <c r="GZ48" i="10" s="1"/>
  <c r="GV51" i="10"/>
  <c r="GZ51" i="10" s="1"/>
  <c r="GZ24" i="10"/>
  <c r="EB68" i="2" l="1"/>
  <c r="EB73" i="2" s="1"/>
  <c r="ED68" i="2" l="1"/>
  <c r="ED73" i="2" s="1"/>
  <c r="AD73" i="2"/>
  <c r="AD51" i="12" l="1"/>
  <c r="AD55" i="12" s="1"/>
  <c r="AD94" i="12" l="1"/>
  <c r="AD89" i="12"/>
  <c r="AD91" i="12" s="1"/>
  <c r="EB11" i="2" l="1"/>
  <c r="EB20" i="2" s="1"/>
  <c r="EB22" i="2" s="1"/>
  <c r="EB29" i="2" l="1"/>
  <c r="EB75" i="2"/>
  <c r="AD20" i="2"/>
  <c r="AD22" i="2" s="1"/>
  <c r="AD75" i="2" s="1"/>
  <c r="ED11" i="2"/>
  <c r="ED20" i="2" s="1"/>
  <c r="ED22" i="2" s="1"/>
  <c r="EB33" i="2" l="1"/>
  <c r="EB38" i="2" s="1"/>
  <c r="EA5" i="3"/>
  <c r="ED29" i="2"/>
  <c r="EC5" i="3" s="1"/>
  <c r="ED75" i="2"/>
  <c r="AD29" i="2"/>
  <c r="AC5" i="3" s="1"/>
  <c r="AC23" i="3" s="1"/>
  <c r="AC64" i="3" s="1"/>
  <c r="AC68" i="3" s="1"/>
  <c r="AC70" i="3" s="1"/>
  <c r="EB59" i="2" l="1"/>
  <c r="EB62" i="2"/>
  <c r="EB63" i="2" s="1"/>
  <c r="EC23" i="3"/>
  <c r="EC64" i="3" s="1"/>
  <c r="EC68" i="3" s="1"/>
  <c r="AD33" i="2"/>
  <c r="AD38" i="2" s="1"/>
  <c r="AD49" i="1" s="1"/>
  <c r="AD52" i="1" s="1"/>
  <c r="AD56" i="1" s="1"/>
  <c r="ED33" i="2"/>
  <c r="ED38" i="2" s="1"/>
  <c r="AD90" i="1" l="1"/>
  <c r="AD92" i="1" s="1"/>
  <c r="AD95" i="1"/>
  <c r="EC70" i="3"/>
  <c r="EA66" i="3"/>
  <c r="ED62" i="2"/>
  <c r="ED63" i="2" s="1"/>
  <c r="ED59" i="2"/>
  <c r="AD59" i="2"/>
  <c r="AD62" i="2"/>
  <c r="AD63" i="2" s="1"/>
  <c r="GJ46" i="10" l="1"/>
  <c r="GJ39" i="10"/>
  <c r="GB33" i="10" l="1"/>
  <c r="GL33" i="10" s="1"/>
  <c r="GL7" i="10"/>
  <c r="GJ34" i="10"/>
  <c r="GJ5" i="10"/>
  <c r="GL8" i="10"/>
  <c r="GL34" i="10" l="1"/>
  <c r="GJ31" i="10"/>
  <c r="GH42" i="10"/>
  <c r="GL42" i="10" s="1"/>
  <c r="GL16" i="10"/>
  <c r="GB32" i="10"/>
  <c r="GB5" i="10"/>
  <c r="GB31" i="10" l="1"/>
  <c r="GJ38" i="10" l="1"/>
  <c r="GJ40" i="10"/>
  <c r="GJ43" i="10"/>
  <c r="GH46" i="10" l="1"/>
  <c r="GJ41" i="10"/>
  <c r="GL41" i="10" s="1"/>
  <c r="GL15" i="10"/>
  <c r="GD39" i="10"/>
  <c r="GD38" i="10"/>
  <c r="GJ37" i="10"/>
  <c r="GJ10" i="10"/>
  <c r="GJ19" i="10" s="1"/>
  <c r="GJ22" i="10" s="1"/>
  <c r="GJ24" i="10" s="1"/>
  <c r="GJ36" i="10" l="1"/>
  <c r="GJ45" i="10" s="1"/>
  <c r="GJ48" i="10" s="1"/>
  <c r="GJ51" i="10" s="1"/>
  <c r="GH39" i="10"/>
  <c r="GB37" i="10"/>
  <c r="GL11" i="10"/>
  <c r="GH10" i="10"/>
  <c r="GH19" i="10" s="1"/>
  <c r="GH22" i="10" s="1"/>
  <c r="GD46" i="10"/>
  <c r="GL46" i="10" s="1"/>
  <c r="GL20" i="10"/>
  <c r="GD37" i="10"/>
  <c r="GD36" i="10" s="1"/>
  <c r="GD10" i="10"/>
  <c r="GL37" i="10" l="1"/>
  <c r="GB38" i="10"/>
  <c r="GL38" i="10" s="1"/>
  <c r="GL12" i="10"/>
  <c r="GH43" i="10"/>
  <c r="GL43" i="10" s="1"/>
  <c r="GL17" i="10"/>
  <c r="GH40" i="10"/>
  <c r="GL40" i="10" s="1"/>
  <c r="GL14" i="10"/>
  <c r="GH36" i="10" l="1"/>
  <c r="GH45" i="10" s="1"/>
  <c r="GH48" i="10" s="1"/>
  <c r="GH51" i="10" s="1"/>
  <c r="GD32" i="10" l="1"/>
  <c r="GD5" i="10"/>
  <c r="GL6" i="10"/>
  <c r="GD31" i="10" l="1"/>
  <c r="GL32" i="10"/>
  <c r="GB39" i="10"/>
  <c r="GL13" i="10"/>
  <c r="GB10" i="10"/>
  <c r="GL5" i="10"/>
  <c r="GD19" i="10"/>
  <c r="GD22" i="10" s="1"/>
  <c r="GD24" i="10" s="1"/>
  <c r="GL10" i="10" l="1"/>
  <c r="GL19" i="10" s="1"/>
  <c r="GL22" i="10" s="1"/>
  <c r="GB19" i="10"/>
  <c r="GB22" i="10" s="1"/>
  <c r="GB24" i="10" s="1"/>
  <c r="GL39" i="10"/>
  <c r="GB36" i="10"/>
  <c r="GL31" i="10"/>
  <c r="GD45" i="10"/>
  <c r="GD48" i="10" s="1"/>
  <c r="GD51" i="10" s="1"/>
  <c r="GL36" i="10" l="1"/>
  <c r="GL45" i="10" s="1"/>
  <c r="GL48" i="10" s="1"/>
  <c r="GB45" i="10"/>
  <c r="GB48" i="10" s="1"/>
  <c r="GB51" i="10" s="1"/>
  <c r="GL51" i="10" s="1"/>
  <c r="GL24" i="10" l="1"/>
  <c r="EA43" i="3" l="1"/>
  <c r="EA52" i="3" l="1"/>
  <c r="EA56" i="3" l="1"/>
  <c r="DX18" i="2" l="1"/>
  <c r="DZ18" i="2" l="1"/>
  <c r="Z73" i="2" l="1"/>
  <c r="DX31" i="2" l="1"/>
  <c r="DX13" i="2"/>
  <c r="DZ13" i="2" l="1"/>
  <c r="DZ20" i="2" s="1"/>
  <c r="DZ22" i="2" s="1"/>
  <c r="DX20" i="2"/>
  <c r="DX22" i="2" s="1"/>
  <c r="Z20" i="2"/>
  <c r="Z22" i="2" s="1"/>
  <c r="Z75" i="2" s="1"/>
  <c r="DZ31" i="2"/>
  <c r="Z29" i="2" l="1"/>
  <c r="DX29" i="2"/>
  <c r="DZ29" i="2"/>
  <c r="DZ75" i="2"/>
  <c r="DX33" i="2" l="1"/>
  <c r="DX38" i="2" s="1"/>
  <c r="DZ33" i="2"/>
  <c r="DZ38" i="2" s="1"/>
  <c r="Z33" i="2"/>
  <c r="Z38" i="2" s="1"/>
  <c r="Y5" i="3"/>
  <c r="DW5" i="3" s="1"/>
  <c r="DY5" i="3" l="1"/>
  <c r="Z59" i="2"/>
  <c r="Z62" i="2"/>
  <c r="Z63" i="2" s="1"/>
  <c r="DZ59" i="2"/>
  <c r="DZ62" i="2"/>
  <c r="DZ63" i="2" s="1"/>
  <c r="Z52" i="1"/>
  <c r="Z56" i="1" s="1"/>
  <c r="DX59" i="2"/>
  <c r="DX62" i="2"/>
  <c r="DX63" i="2" s="1"/>
  <c r="Z90" i="1" l="1"/>
  <c r="Z92" i="1" s="1"/>
  <c r="Z95" i="1"/>
  <c r="ED37" i="10" l="1"/>
  <c r="ER37" i="10" l="1"/>
  <c r="ER42" i="10" l="1"/>
  <c r="EV42" i="10" s="1"/>
  <c r="ED41" i="10" l="1"/>
  <c r="ED38" i="10"/>
  <c r="ER38" i="10" l="1"/>
  <c r="ER41" i="10"/>
  <c r="EV15" i="10"/>
  <c r="ED34" i="10" l="1"/>
  <c r="ED31" i="10" s="1"/>
  <c r="ER34" i="10" l="1"/>
  <c r="ER5" i="10"/>
  <c r="ER31" i="10" l="1"/>
  <c r="DX67" i="2" l="1"/>
  <c r="DX73" i="2" s="1"/>
  <c r="DX75" i="2" s="1"/>
  <c r="DV67" i="2"/>
  <c r="X73" i="2"/>
  <c r="X75" i="2" s="1"/>
  <c r="FH46" i="10" l="1"/>
  <c r="FH39" i="10" l="1"/>
  <c r="ET39" i="10"/>
  <c r="FH40" i="10"/>
  <c r="EZ46" i="10"/>
  <c r="FJ20" i="10"/>
  <c r="FF46" i="10"/>
  <c r="FH38" i="10"/>
  <c r="FH37" i="10"/>
  <c r="FH10" i="10"/>
  <c r="FJ15" i="10"/>
  <c r="FH41" i="10"/>
  <c r="FJ41" i="10" s="1"/>
  <c r="ET41" i="10"/>
  <c r="EV41" i="10" s="1"/>
  <c r="FB46" i="10"/>
  <c r="FB39" i="10" l="1"/>
  <c r="FB38" i="10"/>
  <c r="FJ46" i="10"/>
  <c r="FJ17" i="10"/>
  <c r="FF43" i="10"/>
  <c r="FJ43" i="10" s="1"/>
  <c r="FH36" i="10"/>
  <c r="FF40" i="10"/>
  <c r="FJ40" i="10" s="1"/>
  <c r="FJ14" i="10"/>
  <c r="FH34" i="10"/>
  <c r="FH5" i="10"/>
  <c r="FH19" i="10" s="1"/>
  <c r="FH22" i="10" s="1"/>
  <c r="FH24" i="10" s="1"/>
  <c r="FJ8" i="10"/>
  <c r="FH51" i="10" l="1"/>
  <c r="FH31" i="10"/>
  <c r="FH45" i="10" s="1"/>
  <c r="FH48" i="10" s="1"/>
  <c r="FJ34" i="10"/>
  <c r="FB37" i="10"/>
  <c r="FB36" i="10" s="1"/>
  <c r="FB10" i="10"/>
  <c r="EZ38" i="10" l="1"/>
  <c r="FJ38" i="10" s="1"/>
  <c r="FJ12" i="10"/>
  <c r="EL33" i="10" l="1"/>
  <c r="EV33" i="10" s="1"/>
  <c r="FJ7" i="10"/>
  <c r="EZ33" i="10"/>
  <c r="FJ33" i="10" s="1"/>
  <c r="EZ5" i="10" l="1"/>
  <c r="EZ32" i="10"/>
  <c r="EZ31" i="10" l="1"/>
  <c r="EZ37" i="10" l="1"/>
  <c r="FJ11" i="10"/>
  <c r="FJ37" i="10" l="1"/>
  <c r="FB5" i="10" l="1"/>
  <c r="FB32" i="10"/>
  <c r="FJ6" i="10"/>
  <c r="FF39" i="10"/>
  <c r="FF36" i="10" s="1"/>
  <c r="FF45" i="10" s="1"/>
  <c r="FF48" i="10" s="1"/>
  <c r="FF10" i="10"/>
  <c r="FF19" i="10" s="1"/>
  <c r="FF22" i="10" s="1"/>
  <c r="FF24" i="10" s="1"/>
  <c r="FJ13" i="10" l="1"/>
  <c r="EZ39" i="10"/>
  <c r="EZ10" i="10"/>
  <c r="FF51" i="10"/>
  <c r="FB31" i="10"/>
  <c r="FJ32" i="10"/>
  <c r="FB19" i="10"/>
  <c r="FB22" i="10" s="1"/>
  <c r="FB24" i="10" s="1"/>
  <c r="FJ5" i="10"/>
  <c r="FJ10" i="10" l="1"/>
  <c r="FJ19" i="10" s="1"/>
  <c r="FJ22" i="10" s="1"/>
  <c r="EZ19" i="10"/>
  <c r="EZ22" i="10" s="1"/>
  <c r="EZ24" i="10" s="1"/>
  <c r="FJ39" i="10"/>
  <c r="EZ36" i="10"/>
  <c r="FB45" i="10"/>
  <c r="FB48" i="10" s="1"/>
  <c r="FJ31" i="10"/>
  <c r="FB51" i="10"/>
  <c r="FJ36" i="10" l="1"/>
  <c r="FJ45" i="10" s="1"/>
  <c r="FJ48" i="10" s="1"/>
  <c r="EZ45" i="10"/>
  <c r="EZ48" i="10" s="1"/>
  <c r="FJ24" i="10"/>
  <c r="EZ51" i="10"/>
  <c r="FJ51" i="10" s="1"/>
  <c r="DY14" i="3" l="1"/>
  <c r="DY15" i="3"/>
  <c r="DY18" i="3" l="1"/>
  <c r="DY17" i="3" l="1"/>
  <c r="DY42" i="3" l="1"/>
  <c r="DW7" i="3"/>
  <c r="DY7" i="3" l="1"/>
  <c r="DY9" i="3" l="1"/>
  <c r="DY19" i="3" l="1"/>
  <c r="DY8" i="3" l="1"/>
  <c r="DY22" i="3" l="1"/>
  <c r="Y62" i="3" l="1"/>
  <c r="DY50" i="3"/>
  <c r="DY62" i="3" s="1"/>
  <c r="DY16" i="3"/>
  <c r="Y6" i="3"/>
  <c r="DY6" i="3" l="1"/>
  <c r="DY23" i="3" s="1"/>
  <c r="Y23" i="3"/>
  <c r="DY38" i="3" l="1"/>
  <c r="DY45" i="3" s="1"/>
  <c r="DY64" i="3" s="1"/>
  <c r="Y45" i="3"/>
  <c r="Y64" i="3" s="1"/>
  <c r="ER39" i="10" l="1"/>
  <c r="EV8" i="10" l="1"/>
  <c r="ET5" i="10"/>
  <c r="ET34" i="10"/>
  <c r="ET40" i="10" l="1"/>
  <c r="EN38" i="10"/>
  <c r="ET38" i="10"/>
  <c r="EN39" i="10"/>
  <c r="ET46" i="10"/>
  <c r="ET10" i="10"/>
  <c r="ET19" i="10" s="1"/>
  <c r="ET22" i="10" s="1"/>
  <c r="ET24" i="10" s="1"/>
  <c r="ET37" i="10"/>
  <c r="EN10" i="10"/>
  <c r="EN37" i="10"/>
  <c r="ET31" i="10"/>
  <c r="EV34" i="10"/>
  <c r="EL37" i="10"/>
  <c r="EV11" i="10"/>
  <c r="EN36" i="10" l="1"/>
  <c r="ET51" i="10"/>
  <c r="ET36" i="10"/>
  <c r="ET45" i="10" s="1"/>
  <c r="ET48" i="10" s="1"/>
  <c r="ER40" i="10"/>
  <c r="EV14" i="10"/>
  <c r="EV37" i="10"/>
  <c r="EL39" i="10"/>
  <c r="EV39" i="10" s="1"/>
  <c r="EV13" i="10"/>
  <c r="EL10" i="10"/>
  <c r="EL38" i="10"/>
  <c r="EV38" i="10" s="1"/>
  <c r="EV12" i="10"/>
  <c r="EL36" i="10" l="1"/>
  <c r="EV40" i="10"/>
  <c r="ER46" i="10" l="1"/>
  <c r="EN46" i="10"/>
  <c r="EV20" i="10"/>
  <c r="EL46" i="10"/>
  <c r="EV17" i="10"/>
  <c r="ER43" i="10"/>
  <c r="ER10" i="10"/>
  <c r="EV46" i="10" l="1"/>
  <c r="ER19" i="10"/>
  <c r="ER22" i="10" s="1"/>
  <c r="EV10" i="10"/>
  <c r="EV43" i="10"/>
  <c r="ER36" i="10"/>
  <c r="ER45" i="10" l="1"/>
  <c r="ER48" i="10" s="1"/>
  <c r="EV36" i="10"/>
  <c r="EL5" i="10" l="1"/>
  <c r="EL32" i="10"/>
  <c r="EN32" i="10" l="1"/>
  <c r="EN31" i="10" s="1"/>
  <c r="EN45" i="10" s="1"/>
  <c r="EN48" i="10" s="1"/>
  <c r="EN5" i="10"/>
  <c r="EN19" i="10" s="1"/>
  <c r="EN22" i="10" s="1"/>
  <c r="EN24" i="10" s="1"/>
  <c r="EN51" i="10" s="1"/>
  <c r="EV6" i="10"/>
  <c r="EL31" i="10"/>
  <c r="EV32" i="10"/>
  <c r="EL19" i="10"/>
  <c r="EL22" i="10" s="1"/>
  <c r="EL24" i="10" s="1"/>
  <c r="EV5" i="10" l="1"/>
  <c r="EV19" i="10" s="1"/>
  <c r="EV22" i="10" s="1"/>
  <c r="EL45" i="10"/>
  <c r="EL48" i="10" s="1"/>
  <c r="EV31" i="10"/>
  <c r="EV45" i="10" s="1"/>
  <c r="EV48" i="10" s="1"/>
  <c r="EL51" i="10"/>
  <c r="DW43" i="3" l="1"/>
  <c r="DW15" i="3"/>
  <c r="DW14" i="3"/>
  <c r="DW57" i="3" l="1"/>
  <c r="DU57" i="3"/>
  <c r="DW50" i="3"/>
  <c r="DW8" i="3" l="1"/>
  <c r="DW42" i="3"/>
  <c r="DW40" i="3" l="1"/>
  <c r="DU40" i="3"/>
  <c r="DW22" i="3"/>
  <c r="DW9" i="3" l="1"/>
  <c r="DW17" i="3" l="1"/>
  <c r="DW18" i="3" l="1"/>
  <c r="DU52" i="3" l="1"/>
  <c r="DW52" i="3" l="1"/>
  <c r="DW62" i="3" s="1"/>
  <c r="W62" i="3"/>
  <c r="ER51" i="10" l="1"/>
  <c r="EV51" i="10" s="1"/>
  <c r="EV24" i="10"/>
  <c r="W45" i="3" l="1"/>
  <c r="DW38" i="3"/>
  <c r="DW45" i="3" s="1"/>
  <c r="DW16" i="3" l="1"/>
  <c r="DW19" i="3" l="1"/>
  <c r="W6" i="3"/>
  <c r="W23" i="3" l="1"/>
  <c r="W64" i="3" s="1"/>
  <c r="DW6" i="3"/>
  <c r="DW23" i="3" s="1"/>
  <c r="DW64" i="3" s="1"/>
  <c r="DT4" i="2" l="1"/>
  <c r="DT7" i="2" s="1"/>
  <c r="DV4" i="2" l="1"/>
  <c r="DV7" i="2" s="1"/>
  <c r="V7" i="2"/>
  <c r="V86" i="1" l="1"/>
  <c r="V88" i="1" s="1"/>
  <c r="V73" i="2"/>
  <c r="V22" i="2"/>
  <c r="V29" i="2" s="1"/>
  <c r="DV73" i="2"/>
  <c r="DV22" i="2"/>
  <c r="DV29" i="2" s="1"/>
  <c r="DV75" i="2" l="1"/>
  <c r="V75" i="2"/>
  <c r="U5" i="3"/>
  <c r="DU5" i="3" s="1"/>
  <c r="DV31" i="2" l="1"/>
  <c r="DV33" i="2" s="1"/>
  <c r="DV38" i="2" s="1"/>
  <c r="V33" i="2"/>
  <c r="V38" i="2" s="1"/>
  <c r="V59" i="2" l="1"/>
  <c r="V62" i="2"/>
  <c r="V63" i="2" s="1"/>
  <c r="DV62" i="2"/>
  <c r="DV63" i="2" s="1"/>
  <c r="DV59" i="2"/>
  <c r="V52" i="1" l="1"/>
  <c r="V56" i="1" s="1"/>
  <c r="V90" i="1" l="1"/>
  <c r="V92" i="1" s="1"/>
  <c r="V95" i="1"/>
  <c r="DS7" i="3" l="1"/>
  <c r="DU8" i="3" l="1"/>
  <c r="DU7" i="3"/>
  <c r="DR41" i="10" l="1"/>
  <c r="DT41" i="10" s="1"/>
  <c r="EF41" i="10" l="1"/>
  <c r="EH41" i="10" s="1"/>
  <c r="EH15" i="10"/>
  <c r="DR43" i="10" l="1"/>
  <c r="DR40" i="10"/>
  <c r="DR38" i="10"/>
  <c r="DR37" i="10"/>
  <c r="DP39" i="10"/>
  <c r="DR46" i="10"/>
  <c r="DP46" i="10"/>
  <c r="DL46" i="10"/>
  <c r="EF46" i="10" l="1"/>
  <c r="DZ46" i="10"/>
  <c r="ED46" i="10"/>
  <c r="EF38" i="10"/>
  <c r="EF40" i="10"/>
  <c r="EF43" i="10"/>
  <c r="EF37" i="10"/>
  <c r="DR39" i="10"/>
  <c r="DR36" i="10" s="1"/>
  <c r="ED39" i="10"/>
  <c r="DP40" i="10"/>
  <c r="DT40" i="10" s="1"/>
  <c r="DJ46" i="10"/>
  <c r="DT46" i="10" s="1"/>
  <c r="EF39" i="10" l="1"/>
  <c r="EF36" i="10" s="1"/>
  <c r="EH20" i="10"/>
  <c r="DX46" i="10"/>
  <c r="EH46" i="10" s="1"/>
  <c r="EH14" i="10"/>
  <c r="ED40" i="10"/>
  <c r="EH40" i="10" s="1"/>
  <c r="EF10" i="10"/>
  <c r="DL37" i="10" l="1"/>
  <c r="DJ33" i="10" l="1"/>
  <c r="DT33" i="10" s="1"/>
  <c r="DZ37" i="10"/>
  <c r="DX33" i="10" l="1"/>
  <c r="EH33" i="10" s="1"/>
  <c r="EH7" i="10"/>
  <c r="DU15" i="3" l="1"/>
  <c r="DU22" i="3"/>
  <c r="DU18" i="3" l="1"/>
  <c r="DU43" i="3"/>
  <c r="DU16" i="3" l="1"/>
  <c r="DU42" i="3" l="1"/>
  <c r="DU38" i="3"/>
  <c r="DU45" i="3" s="1"/>
  <c r="DU17" i="3" l="1"/>
  <c r="U45" i="3"/>
  <c r="DJ37" i="10" l="1"/>
  <c r="DL38" i="10"/>
  <c r="DL39" i="10"/>
  <c r="DJ38" i="10"/>
  <c r="DT38" i="10" l="1"/>
  <c r="DL36" i="10"/>
  <c r="DT37" i="10"/>
  <c r="DZ39" i="10"/>
  <c r="DZ38" i="10"/>
  <c r="DZ10" i="10"/>
  <c r="EH12" i="10"/>
  <c r="DX38" i="10"/>
  <c r="EH11" i="10"/>
  <c r="DX37" i="10"/>
  <c r="DZ36" i="10" l="1"/>
  <c r="EH38" i="10"/>
  <c r="EH37" i="10"/>
  <c r="DP43" i="10" l="1"/>
  <c r="DT43" i="10" l="1"/>
  <c r="DP36" i="10"/>
  <c r="DP45" i="10" s="1"/>
  <c r="DP48" i="10" s="1"/>
  <c r="EH17" i="10"/>
  <c r="ED43" i="10"/>
  <c r="ED10" i="10"/>
  <c r="ED19" i="10" s="1"/>
  <c r="ED22" i="10" s="1"/>
  <c r="EH43" i="10" l="1"/>
  <c r="ED36" i="10"/>
  <c r="ED45" i="10" s="1"/>
  <c r="ED48" i="10" s="1"/>
  <c r="ED51" i="10" s="1"/>
  <c r="DJ32" i="10" l="1"/>
  <c r="DJ31" i="10" l="1"/>
  <c r="DX5" i="10"/>
  <c r="DX32" i="10"/>
  <c r="DL32" i="10"/>
  <c r="DL31" i="10" s="1"/>
  <c r="DL45" i="10" s="1"/>
  <c r="DL48" i="10" s="1"/>
  <c r="DL51" i="10" s="1"/>
  <c r="DT32" i="10" l="1"/>
  <c r="DZ5" i="10"/>
  <c r="DZ19" i="10" s="1"/>
  <c r="DZ22" i="10" s="1"/>
  <c r="DZ24" i="10" s="1"/>
  <c r="DZ32" i="10"/>
  <c r="DZ31" i="10" s="1"/>
  <c r="DZ45" i="10" s="1"/>
  <c r="DZ48" i="10" s="1"/>
  <c r="DZ51" i="10" s="1"/>
  <c r="DJ39" i="10"/>
  <c r="DX31" i="10"/>
  <c r="EH6" i="10"/>
  <c r="DT39" i="10" l="1"/>
  <c r="DJ36" i="10"/>
  <c r="EH32" i="10"/>
  <c r="EH13" i="10"/>
  <c r="DX39" i="10"/>
  <c r="DX10" i="10"/>
  <c r="DT36" i="10" l="1"/>
  <c r="DJ45" i="10"/>
  <c r="DJ48" i="10" s="1"/>
  <c r="DJ51" i="10" s="1"/>
  <c r="EH10" i="10"/>
  <c r="DX19" i="10"/>
  <c r="DX22" i="10" s="1"/>
  <c r="DX24" i="10" s="1"/>
  <c r="EH39" i="10"/>
  <c r="DX36" i="10"/>
  <c r="EH36" i="10" l="1"/>
  <c r="DX45" i="10"/>
  <c r="DX48" i="10" s="1"/>
  <c r="DX51" i="10" s="1"/>
  <c r="DU50" i="3" l="1"/>
  <c r="DU62" i="3" s="1"/>
  <c r="U62" i="3"/>
  <c r="DP51" i="10" l="1"/>
  <c r="DU14" i="3" l="1"/>
  <c r="DU9" i="3" l="1"/>
  <c r="DR34" i="10" l="1"/>
  <c r="DR31" i="10" l="1"/>
  <c r="DT34" i="10"/>
  <c r="EF34" i="10"/>
  <c r="EH8" i="10"/>
  <c r="EF5" i="10"/>
  <c r="DR45" i="10" l="1"/>
  <c r="DR48" i="10" s="1"/>
  <c r="DT31" i="10"/>
  <c r="DT45" i="10" s="1"/>
  <c r="DT48" i="10" s="1"/>
  <c r="EF19" i="10"/>
  <c r="EF22" i="10" s="1"/>
  <c r="EH5" i="10"/>
  <c r="EH19" i="10" s="1"/>
  <c r="EH22" i="10" s="1"/>
  <c r="EH34" i="10"/>
  <c r="EF31" i="10"/>
  <c r="DR51" i="10" l="1"/>
  <c r="DT51" i="10" s="1"/>
  <c r="EF45" i="10"/>
  <c r="EF48" i="10" s="1"/>
  <c r="EH31" i="10"/>
  <c r="EH45" i="10" s="1"/>
  <c r="EH48" i="10" s="1"/>
  <c r="EH24" i="10"/>
  <c r="EF51" i="10" l="1"/>
  <c r="EH51" i="10" s="1"/>
  <c r="DU19" i="3" l="1"/>
  <c r="U6" i="3"/>
  <c r="DU6" i="3" l="1"/>
  <c r="DU23" i="3" s="1"/>
  <c r="DU64" i="3" s="1"/>
  <c r="U23" i="3"/>
  <c r="U64" i="3" s="1"/>
  <c r="DS7" i="13" l="1"/>
  <c r="DU7" i="13" l="1"/>
  <c r="DU42" i="13" l="1"/>
  <c r="DU17" i="13" l="1"/>
  <c r="DU16" i="13" l="1"/>
  <c r="DU15" i="13"/>
  <c r="DU21" i="13"/>
  <c r="DU19" i="13"/>
  <c r="DU14" i="13"/>
  <c r="DU49" i="13"/>
  <c r="DU18" i="13"/>
  <c r="DU51" i="13" l="1"/>
  <c r="DU40" i="13"/>
  <c r="DU41" i="13" l="1"/>
  <c r="U39" i="13"/>
  <c r="DU39" i="13" s="1"/>
  <c r="DU13" i="13" l="1"/>
  <c r="DU6" i="13" s="1"/>
  <c r="DU22" i="13" s="1"/>
  <c r="U6" i="13"/>
  <c r="U22" i="13" s="1"/>
  <c r="DU37" i="13"/>
  <c r="DU44" i="13" s="1"/>
  <c r="U44" i="13"/>
  <c r="DU55" i="13" l="1"/>
  <c r="DU61" i="13" s="1"/>
  <c r="DU63" i="13" s="1"/>
  <c r="DU67" i="13" s="1"/>
  <c r="DS65" i="13" s="1"/>
  <c r="U61" i="13"/>
  <c r="U63" i="13" s="1"/>
  <c r="U67" i="13" s="1"/>
  <c r="DU69" i="13" l="1"/>
  <c r="U69" i="13"/>
  <c r="T7" i="2" l="1"/>
  <c r="T73" i="2" l="1"/>
  <c r="T22" i="2"/>
  <c r="T29" i="2" s="1"/>
  <c r="DT22" i="2"/>
  <c r="DT29" i="2" s="1"/>
  <c r="DT73" i="2"/>
  <c r="DT75" i="2" l="1"/>
  <c r="T75" i="2"/>
  <c r="S5" i="3"/>
  <c r="DS5" i="3" l="1"/>
  <c r="DT31" i="2" l="1"/>
  <c r="DT33" i="2" s="1"/>
  <c r="DT38" i="2" s="1"/>
  <c r="T33" i="2"/>
  <c r="T38" i="2" s="1"/>
  <c r="T62" i="2" l="1"/>
  <c r="T63" i="2" s="1"/>
  <c r="DT62" i="2"/>
  <c r="DT63" i="2" s="1"/>
  <c r="DT46" i="2" l="1"/>
  <c r="DT41" i="2" l="1"/>
  <c r="DT47" i="2" s="1"/>
  <c r="DT57" i="2" s="1"/>
  <c r="DT59" i="2" s="1"/>
  <c r="T47" i="2"/>
  <c r="T57" i="2" s="1"/>
  <c r="T59" i="2" s="1"/>
  <c r="DS22" i="3" l="1"/>
  <c r="DS14" i="3"/>
  <c r="DS43" i="3"/>
  <c r="DS42" i="3" l="1"/>
  <c r="DS15" i="3"/>
  <c r="DS41" i="3"/>
  <c r="DS8" i="3" l="1"/>
  <c r="DS57" i="3"/>
  <c r="S45" i="3" l="1"/>
  <c r="DS38" i="3"/>
  <c r="DS45" i="3" s="1"/>
  <c r="DS18" i="3" l="1"/>
  <c r="DS17" i="3" l="1"/>
  <c r="DS16" i="3" l="1"/>
  <c r="DS50" i="3" l="1"/>
  <c r="DS19" i="3" l="1"/>
  <c r="DS52" i="3" l="1"/>
  <c r="DS56" i="3" l="1"/>
  <c r="DS62" i="3" s="1"/>
  <c r="S62" i="3"/>
  <c r="DS9" i="3" l="1"/>
  <c r="S6" i="3"/>
  <c r="DS6" i="3" l="1"/>
  <c r="DS23" i="3" s="1"/>
  <c r="DS64" i="3" s="1"/>
  <c r="S23" i="3"/>
  <c r="S64" i="3" s="1"/>
  <c r="FV39" i="10" l="1"/>
  <c r="FN46" i="10" l="1"/>
  <c r="FV38" i="10"/>
  <c r="FV37" i="10" l="1"/>
  <c r="FV34" i="10" l="1"/>
  <c r="FV5" i="10"/>
  <c r="FX8" i="10"/>
  <c r="FX34" i="10" l="1"/>
  <c r="FV31" i="10"/>
  <c r="FV40" i="10" l="1"/>
  <c r="FV10" i="10"/>
  <c r="FV19" i="10" s="1"/>
  <c r="FV41" i="10"/>
  <c r="FX41" i="10" s="1"/>
  <c r="FX15" i="10"/>
  <c r="FN33" i="10"/>
  <c r="FX33" i="10" s="1"/>
  <c r="FX7" i="10"/>
  <c r="FP38" i="10"/>
  <c r="FP39" i="10"/>
  <c r="FT43" i="10" l="1"/>
  <c r="FX43" i="10" s="1"/>
  <c r="FX17" i="10"/>
  <c r="FP46" i="10"/>
  <c r="FN32" i="10"/>
  <c r="FN5" i="10"/>
  <c r="FV36" i="10"/>
  <c r="FV45" i="10" s="1"/>
  <c r="FX6" i="10"/>
  <c r="FN37" i="10" l="1"/>
  <c r="FN10" i="10"/>
  <c r="FN31" i="10"/>
  <c r="FN39" i="10"/>
  <c r="FT40" i="10"/>
  <c r="FX40" i="10" s="1"/>
  <c r="FX14" i="10"/>
  <c r="FN38" i="10"/>
  <c r="FX38" i="10" s="1"/>
  <c r="FX12" i="10"/>
  <c r="FP32" i="10"/>
  <c r="FP31" i="10" s="1"/>
  <c r="FP5" i="10"/>
  <c r="FX32" i="10" l="1"/>
  <c r="FX31" i="10"/>
  <c r="FN36" i="10"/>
  <c r="FX5" i="10"/>
  <c r="FN19" i="10"/>
  <c r="FN22" i="10" s="1"/>
  <c r="FN24" i="10" s="1"/>
  <c r="FN45" i="10" l="1"/>
  <c r="FN48" i="10" s="1"/>
  <c r="FN51" i="10" s="1"/>
  <c r="EA14" i="3" l="1"/>
  <c r="EA8" i="3" l="1"/>
  <c r="EA15" i="3" l="1"/>
  <c r="EA42" i="3" l="1"/>
  <c r="EA17" i="3"/>
  <c r="EA18" i="3"/>
  <c r="EA40" i="3" l="1"/>
  <c r="EA16" i="3" l="1"/>
  <c r="EA22" i="3" l="1"/>
  <c r="AA62" i="3" l="1"/>
  <c r="EA50" i="3"/>
  <c r="EA62" i="3" s="1"/>
  <c r="FV46" i="10" l="1"/>
  <c r="FV48" i="10" s="1"/>
  <c r="FV51" i="10" s="1"/>
  <c r="FV22" i="10"/>
  <c r="FV24" i="10" s="1"/>
  <c r="FP37" i="10" l="1"/>
  <c r="FP10" i="10"/>
  <c r="FX11" i="10"/>
  <c r="FP19" i="10" l="1"/>
  <c r="FP22" i="10" s="1"/>
  <c r="FP24" i="10" s="1"/>
  <c r="FP36" i="10"/>
  <c r="FX37" i="10"/>
  <c r="FP45" i="10" l="1"/>
  <c r="FP48" i="10" s="1"/>
  <c r="FP51" i="10" s="1"/>
  <c r="FT46" i="10" l="1"/>
  <c r="FX46" i="10" s="1"/>
  <c r="FX20" i="10"/>
  <c r="FT39" i="10"/>
  <c r="FX13" i="10"/>
  <c r="FX39" i="10" l="1"/>
  <c r="FT42" i="10" l="1"/>
  <c r="FX16" i="10"/>
  <c r="FT10" i="10"/>
  <c r="FT19" i="10" l="1"/>
  <c r="FT22" i="10" s="1"/>
  <c r="FX10" i="10"/>
  <c r="FX19" i="10" s="1"/>
  <c r="FX22" i="10" s="1"/>
  <c r="FX42" i="10"/>
  <c r="FT36" i="10"/>
  <c r="FX24" i="10"/>
  <c r="FT45" i="10" l="1"/>
  <c r="FT48" i="10" s="1"/>
  <c r="FT51" i="10" s="1"/>
  <c r="FX51" i="10" s="1"/>
  <c r="FX36" i="10"/>
  <c r="FX45" i="10" s="1"/>
  <c r="FX48" i="10" s="1"/>
  <c r="EA7" i="3" l="1"/>
  <c r="AA45" i="3" l="1"/>
  <c r="EA38" i="3"/>
  <c r="EA45" i="3" s="1"/>
  <c r="EA9" i="3" l="1"/>
  <c r="EA19" i="3" l="1"/>
  <c r="EA6" i="3" s="1"/>
  <c r="EA23" i="3" s="1"/>
  <c r="EA64" i="3" s="1"/>
  <c r="EA68" i="3" s="1"/>
  <c r="AA6" i="3"/>
  <c r="AA23" i="3" s="1"/>
  <c r="AA64" i="3" s="1"/>
  <c r="AA68" i="3" s="1"/>
  <c r="Y66" i="3" l="1"/>
  <c r="AA70" i="3"/>
  <c r="DY66" i="3"/>
  <c r="DY68" i="3" s="1"/>
  <c r="EA70" i="3"/>
  <c r="DW66" i="3" l="1"/>
  <c r="DW68" i="3" s="1"/>
  <c r="W66" i="3"/>
  <c r="Y68" i="3"/>
  <c r="DY70" i="3" s="1"/>
  <c r="U66" i="3" l="1"/>
  <c r="W68" i="3"/>
  <c r="Y70" i="3"/>
  <c r="DW70" i="3"/>
  <c r="DU66" i="3"/>
  <c r="DU68" i="3" s="1"/>
  <c r="DS66" i="3" l="1"/>
  <c r="DS68" i="3" s="1"/>
  <c r="DQ66" i="3" s="1"/>
  <c r="W70" i="3"/>
  <c r="S66" i="3"/>
  <c r="S68" i="3" s="1"/>
  <c r="Q66" i="3" s="1"/>
  <c r="O66" i="3" s="1"/>
  <c r="M66" i="3" s="1"/>
  <c r="K66" i="3" s="1"/>
  <c r="U68" i="3"/>
  <c r="U70" i="3" l="1"/>
  <c r="DU70" i="3"/>
  <c r="S70" i="3"/>
  <c r="DS70" i="3"/>
  <c r="DS42" i="13" l="1"/>
  <c r="DS15" i="13" l="1"/>
  <c r="DS14" i="13" l="1"/>
  <c r="DS37" i="13" l="1"/>
  <c r="DS40" i="13"/>
  <c r="DS13" i="13" l="1"/>
  <c r="DS41" i="13" l="1"/>
  <c r="S39" i="13"/>
  <c r="DS39" i="13" l="1"/>
  <c r="DS44" i="13" s="1"/>
  <c r="S44" i="13"/>
  <c r="DS21" i="13" l="1"/>
  <c r="DS18" i="13" l="1"/>
  <c r="DS17" i="13"/>
  <c r="DS19" i="13"/>
  <c r="DS16" i="13" l="1"/>
  <c r="DS6" i="13" s="1"/>
  <c r="DS22" i="13" s="1"/>
  <c r="S6" i="13"/>
  <c r="S22" i="13" s="1"/>
  <c r="DS49" i="13" l="1"/>
  <c r="DS51" i="13"/>
  <c r="DS55" i="13" l="1"/>
  <c r="DS61" i="13" s="1"/>
  <c r="DS63" i="13" s="1"/>
  <c r="DS67" i="13" s="1"/>
  <c r="DQ65" i="13" s="1"/>
  <c r="S61" i="13"/>
  <c r="S63" i="13" s="1"/>
  <c r="S67" i="13" s="1"/>
  <c r="Q65" i="13" s="1"/>
  <c r="O65" i="13" s="1"/>
  <c r="M65" i="13" s="1"/>
  <c r="K65" i="13" s="1"/>
  <c r="K67" i="13" s="1"/>
  <c r="I65" i="13" s="1"/>
  <c r="I67" i="13" s="1"/>
  <c r="I69" i="13" s="1"/>
  <c r="K69" i="13" l="1"/>
  <c r="DS69" i="13"/>
  <c r="S69" i="13"/>
  <c r="R86" i="1" l="1"/>
  <c r="R88" i="1" s="1"/>
  <c r="R21" i="1" l="1"/>
  <c r="R41" i="1" s="1"/>
  <c r="DO7" i="13" l="1"/>
  <c r="DQ7" i="13" l="1"/>
  <c r="DQ42" i="13" l="1"/>
  <c r="DQ16" i="13" l="1"/>
  <c r="DQ21" i="13"/>
  <c r="DQ17" i="13"/>
  <c r="DQ14" i="13"/>
  <c r="DQ18" i="13"/>
  <c r="DQ15" i="13" l="1"/>
  <c r="DQ49" i="13"/>
  <c r="DQ61" i="13" s="1"/>
  <c r="Q61" i="13"/>
  <c r="DQ40" i="13"/>
  <c r="Q39" i="13"/>
  <c r="DQ39" i="13" l="1"/>
  <c r="DQ13" i="13"/>
  <c r="DQ37" i="13" l="1"/>
  <c r="DQ44" i="13" s="1"/>
  <c r="Q44" i="13"/>
  <c r="DQ19" i="13" l="1"/>
  <c r="DQ6" i="13" s="1"/>
  <c r="DQ22" i="13" s="1"/>
  <c r="Q6" i="13"/>
  <c r="Q22" i="13" s="1"/>
  <c r="Q63" i="13" s="1"/>
  <c r="Q67" i="13" s="1"/>
  <c r="DQ63" i="13" l="1"/>
  <c r="DQ67" i="13" s="1"/>
  <c r="Q69" i="13"/>
  <c r="DO65" i="13" l="1"/>
  <c r="DQ69" i="13"/>
  <c r="DD38" i="10"/>
  <c r="CP41" i="10"/>
  <c r="CR41" i="10" s="1"/>
  <c r="DD40" i="10" l="1"/>
  <c r="DD39" i="10"/>
  <c r="CX46" i="10"/>
  <c r="DB46" i="10"/>
  <c r="CX38" i="10"/>
  <c r="DD46" i="10"/>
  <c r="CX39" i="10"/>
  <c r="CX37" i="10"/>
  <c r="CX36" i="10" s="1"/>
  <c r="CV37" i="10"/>
  <c r="DD34" i="10"/>
  <c r="DF8" i="10"/>
  <c r="DD5" i="10"/>
  <c r="DD37" i="10"/>
  <c r="DD10" i="10"/>
  <c r="DD41" i="10"/>
  <c r="DF41" i="10" s="1"/>
  <c r="DF15" i="10"/>
  <c r="DB39" i="10"/>
  <c r="CV46" i="10"/>
  <c r="DF20" i="10"/>
  <c r="DF46" i="10" l="1"/>
  <c r="DF11" i="10"/>
  <c r="DD19" i="10"/>
  <c r="DD22" i="10" s="1"/>
  <c r="DD24" i="10" s="1"/>
  <c r="CX10" i="10"/>
  <c r="DB40" i="10"/>
  <c r="DF40" i="10" s="1"/>
  <c r="DF14" i="10"/>
  <c r="CN42" i="10"/>
  <c r="CR42" i="10" s="1"/>
  <c r="DF34" i="10"/>
  <c r="DD31" i="10"/>
  <c r="DD36" i="10"/>
  <c r="DF37" i="10"/>
  <c r="DD45" i="10" l="1"/>
  <c r="DD48" i="10" s="1"/>
  <c r="DD51" i="10" s="1"/>
  <c r="DB42" i="10"/>
  <c r="DF16" i="10"/>
  <c r="DB10" i="10"/>
  <c r="DB19" i="10" s="1"/>
  <c r="DB22" i="10" s="1"/>
  <c r="DB24" i="10" s="1"/>
  <c r="CV33" i="10"/>
  <c r="DF33" i="10" s="1"/>
  <c r="DF7" i="10"/>
  <c r="DF42" i="10" l="1"/>
  <c r="DB36" i="10"/>
  <c r="DB45" i="10" s="1"/>
  <c r="DB48" i="10" s="1"/>
  <c r="DB51" i="10" s="1"/>
  <c r="CX32" i="10" l="1"/>
  <c r="CX31" i="10" s="1"/>
  <c r="CX45" i="10" s="1"/>
  <c r="CX48" i="10" s="1"/>
  <c r="CX51" i="10" s="1"/>
  <c r="CX5" i="10"/>
  <c r="CX19" i="10" s="1"/>
  <c r="CX22" i="10" s="1"/>
  <c r="CX24" i="10" s="1"/>
  <c r="CV38" i="10" l="1"/>
  <c r="DF12" i="10"/>
  <c r="DF38" i="10" l="1"/>
  <c r="CV32" i="10" l="1"/>
  <c r="DF6" i="10"/>
  <c r="CV5" i="10"/>
  <c r="DF5" i="10" l="1"/>
  <c r="CV31" i="10"/>
  <c r="DF32" i="10"/>
  <c r="DF31" i="10" l="1"/>
  <c r="CV39" i="10" l="1"/>
  <c r="DF13" i="10"/>
  <c r="CV10" i="10"/>
  <c r="DF10" i="10" l="1"/>
  <c r="DF19" i="10" s="1"/>
  <c r="DF22" i="10" s="1"/>
  <c r="CV19" i="10"/>
  <c r="CV22" i="10" s="1"/>
  <c r="CV24" i="10" s="1"/>
  <c r="DF24" i="10" s="1"/>
  <c r="DF39" i="10"/>
  <c r="CV36" i="10"/>
  <c r="DF36" i="10" l="1"/>
  <c r="DF45" i="10" s="1"/>
  <c r="DF48" i="10" s="1"/>
  <c r="CV45" i="10"/>
  <c r="CV48" i="10" s="1"/>
  <c r="CV51" i="10" s="1"/>
  <c r="DF51" i="10" s="1"/>
  <c r="DQ15" i="3" l="1"/>
  <c r="DQ22" i="3"/>
  <c r="DQ18" i="3" l="1"/>
  <c r="DQ43" i="3"/>
  <c r="DQ16" i="3"/>
  <c r="DQ17" i="3" l="1"/>
  <c r="Q45" i="3" l="1"/>
  <c r="DQ38" i="3"/>
  <c r="DQ45" i="3" s="1"/>
  <c r="DQ50" i="3" l="1"/>
  <c r="DQ62" i="3" s="1"/>
  <c r="Q62" i="3"/>
  <c r="DQ14" i="3" l="1"/>
  <c r="DQ9" i="3" l="1"/>
  <c r="DQ19" i="3" l="1"/>
  <c r="Q6" i="3"/>
  <c r="DQ6" i="3" l="1"/>
  <c r="DQ23" i="3" s="1"/>
  <c r="DQ64" i="3" s="1"/>
  <c r="DQ68" i="3" s="1"/>
  <c r="DO66" i="3" s="1"/>
  <c r="Q23" i="3"/>
  <c r="Q64" i="3" s="1"/>
  <c r="Q68" i="3" s="1"/>
  <c r="Q70" i="3" l="1"/>
  <c r="DQ70" i="3"/>
  <c r="R52" i="1" l="1"/>
  <c r="R56" i="1" s="1"/>
  <c r="R95" i="1" l="1"/>
  <c r="R90" i="1"/>
  <c r="R92" i="1" s="1"/>
  <c r="CP40" i="10" l="1"/>
  <c r="CB40" i="10"/>
  <c r="DO21" i="13"/>
  <c r="DO13" i="13" l="1"/>
  <c r="DO42" i="13" l="1"/>
  <c r="DO15" i="13" l="1"/>
  <c r="DO14" i="13" l="1"/>
  <c r="DO41" i="13"/>
  <c r="DO19" i="13" l="1"/>
  <c r="DO18" i="13"/>
  <c r="DO17" i="13"/>
  <c r="DO51" i="13" l="1"/>
  <c r="DO16" i="13" l="1"/>
  <c r="DO6" i="13" s="1"/>
  <c r="O6" i="13"/>
  <c r="O39" i="13"/>
  <c r="DO39" i="13" s="1"/>
  <c r="DO40" i="13"/>
  <c r="O44" i="13" l="1"/>
  <c r="DO37" i="13"/>
  <c r="DO44" i="13" s="1"/>
  <c r="O61" i="13" l="1"/>
  <c r="DO49" i="13"/>
  <c r="DO61" i="13" s="1"/>
  <c r="CB37" i="10" l="1"/>
  <c r="BV37" i="10"/>
  <c r="CB34" i="10"/>
  <c r="BV32" i="10"/>
  <c r="BV31" i="10" s="1"/>
  <c r="CD34" i="10" l="1"/>
  <c r="CB31" i="10"/>
  <c r="CP38" i="10"/>
  <c r="CB38" i="10"/>
  <c r="CP39" i="10"/>
  <c r="CB39" i="10"/>
  <c r="CP46" i="10"/>
  <c r="CB46" i="10"/>
  <c r="CR8" i="10"/>
  <c r="CP5" i="10"/>
  <c r="CP34" i="10"/>
  <c r="CJ37" i="10"/>
  <c r="CJ5" i="10"/>
  <c r="CJ32" i="10"/>
  <c r="CJ31" i="10" s="1"/>
  <c r="CP37" i="10"/>
  <c r="CP10" i="10"/>
  <c r="CB36" i="10" l="1"/>
  <c r="CB45" i="10"/>
  <c r="CB48" i="10" s="1"/>
  <c r="CB51" i="10" s="1"/>
  <c r="CP36" i="10"/>
  <c r="CP31" i="10"/>
  <c r="CP45" i="10" s="1"/>
  <c r="CP48" i="10" s="1"/>
  <c r="CP51" i="10" s="1"/>
  <c r="CR34" i="10"/>
  <c r="CP19" i="10"/>
  <c r="CP22" i="10" s="1"/>
  <c r="CP24" i="10" s="1"/>
  <c r="BZ39" i="10" l="1"/>
  <c r="BV38" i="10"/>
  <c r="CJ39" i="10" l="1"/>
  <c r="BV39" i="10"/>
  <c r="BV36" i="10" s="1"/>
  <c r="BV45" i="10" s="1"/>
  <c r="CN46" i="10"/>
  <c r="BZ46" i="10"/>
  <c r="CJ38" i="10"/>
  <c r="CJ36" i="10" s="1"/>
  <c r="CJ45" i="10" s="1"/>
  <c r="CJ10" i="10"/>
  <c r="CJ19" i="10" s="1"/>
  <c r="CN39" i="10"/>
  <c r="CJ46" i="10" l="1"/>
  <c r="BV46" i="10"/>
  <c r="BV48" i="10" s="1"/>
  <c r="BV51" i="10" s="1"/>
  <c r="CJ22" i="10"/>
  <c r="CJ24" i="10" s="1"/>
  <c r="CJ48" i="10"/>
  <c r="CJ51" i="10" s="1"/>
  <c r="DO8" i="3" l="1"/>
  <c r="DM8" i="3"/>
  <c r="BT46" i="10"/>
  <c r="CD46" i="10" s="1"/>
  <c r="BZ40" i="10"/>
  <c r="CD40" i="10" l="1"/>
  <c r="BT39" i="10"/>
  <c r="CD39" i="10" s="1"/>
  <c r="CR14" i="10"/>
  <c r="CN40" i="10"/>
  <c r="CR20" i="10"/>
  <c r="CH46" i="10"/>
  <c r="CR46" i="10" s="1"/>
  <c r="BT37" i="10"/>
  <c r="CD37" i="10" l="1"/>
  <c r="CR40" i="10"/>
  <c r="CR11" i="10"/>
  <c r="CH37" i="10"/>
  <c r="BZ43" i="10"/>
  <c r="CR13" i="10"/>
  <c r="CH39" i="10"/>
  <c r="CR39" i="10" s="1"/>
  <c r="CD43" i="10" l="1"/>
  <c r="BZ36" i="10"/>
  <c r="BZ45" i="10" s="1"/>
  <c r="BZ48" i="10" s="1"/>
  <c r="BZ51" i="10" s="1"/>
  <c r="CR37" i="10"/>
  <c r="CN43" i="10"/>
  <c r="CR17" i="10"/>
  <c r="CN10" i="10"/>
  <c r="CN19" i="10" s="1"/>
  <c r="CN22" i="10" s="1"/>
  <c r="CN24" i="10" s="1"/>
  <c r="CR43" i="10" l="1"/>
  <c r="CN36" i="10"/>
  <c r="CN45" i="10" s="1"/>
  <c r="CN48" i="10" s="1"/>
  <c r="CN51" i="10" s="1"/>
  <c r="CR6" i="10" l="1"/>
  <c r="CH32" i="10"/>
  <c r="BT33" i="10"/>
  <c r="CD33" i="10" s="1"/>
  <c r="CR7" i="10" l="1"/>
  <c r="CH33" i="10"/>
  <c r="CR33" i="10" s="1"/>
  <c r="CH31" i="10"/>
  <c r="CR31" i="10" s="1"/>
  <c r="CR32" i="10"/>
  <c r="CH5" i="10"/>
  <c r="BT38" i="10"/>
  <c r="CD38" i="10" l="1"/>
  <c r="BT36" i="10"/>
  <c r="CD36" i="10" s="1"/>
  <c r="CH38" i="10"/>
  <c r="CR12" i="10"/>
  <c r="CH10" i="10"/>
  <c r="CR10" i="10" s="1"/>
  <c r="CR5" i="10"/>
  <c r="CR19" i="10" l="1"/>
  <c r="CR22" i="10" s="1"/>
  <c r="CH19" i="10"/>
  <c r="CH22" i="10" s="1"/>
  <c r="CH24" i="10" s="1"/>
  <c r="CR24" i="10" s="1"/>
  <c r="CR38" i="10"/>
  <c r="CH36" i="10"/>
  <c r="CH45" i="10" l="1"/>
  <c r="CH48" i="10" s="1"/>
  <c r="CH51" i="10" s="1"/>
  <c r="CR51" i="10" s="1"/>
  <c r="CR36" i="10"/>
  <c r="CR45" i="10" s="1"/>
  <c r="CR48" i="10" s="1"/>
  <c r="DM7" i="3" l="1"/>
  <c r="DO7" i="3" l="1"/>
  <c r="DO43" i="3" l="1"/>
  <c r="DM43" i="3"/>
  <c r="DO22" i="3"/>
  <c r="DO15" i="3" l="1"/>
  <c r="DM15" i="3"/>
  <c r="DO18" i="3"/>
  <c r="DO52" i="3" l="1"/>
  <c r="DM52" i="3"/>
  <c r="DO16" i="3"/>
  <c r="DO14" i="3" l="1"/>
  <c r="DM14" i="3"/>
  <c r="DO57" i="3"/>
  <c r="DO42" i="3" l="1"/>
  <c r="DM42" i="3"/>
  <c r="DO50" i="3"/>
  <c r="DO62" i="3" s="1"/>
  <c r="O62" i="3"/>
  <c r="DM38" i="3" l="1"/>
  <c r="DO17" i="3"/>
  <c r="DO38" i="3" l="1"/>
  <c r="DO45" i="3" s="1"/>
  <c r="O45" i="3"/>
  <c r="DO9" i="3" l="1"/>
  <c r="DO19" i="3" l="1"/>
  <c r="DO6" i="3" s="1"/>
  <c r="O6" i="3"/>
  <c r="DM48" i="13" l="1"/>
  <c r="DK48" i="13"/>
  <c r="DM26" i="13" l="1"/>
  <c r="DK26" i="13"/>
  <c r="DM12" i="4" l="1"/>
  <c r="DO12" i="4"/>
  <c r="DM9" i="4"/>
  <c r="DO9" i="4"/>
  <c r="DM25" i="4" l="1"/>
  <c r="DO25" i="4"/>
  <c r="DM18" i="4" l="1"/>
  <c r="DO18" i="4"/>
  <c r="DM19" i="4" l="1"/>
  <c r="DO19" i="4"/>
  <c r="DM13" i="4" l="1"/>
  <c r="DO13" i="4"/>
  <c r="DP70" i="2" l="1"/>
  <c r="DN70" i="2"/>
  <c r="DM11" i="4" l="1"/>
  <c r="DO11" i="4"/>
  <c r="DP68" i="2" l="1"/>
  <c r="DN68" i="2"/>
  <c r="DM14" i="4" l="1"/>
  <c r="DO14" i="4"/>
  <c r="DP16" i="2" l="1"/>
  <c r="DN16" i="2"/>
  <c r="DP66" i="2" l="1"/>
  <c r="DN66" i="2"/>
  <c r="DM4" i="4"/>
  <c r="DO4" i="4"/>
  <c r="DP4" i="2" l="1"/>
  <c r="DN4" i="2"/>
  <c r="DM10" i="4" l="1"/>
  <c r="DO10" i="4"/>
  <c r="DP18" i="2" l="1"/>
  <c r="DN18" i="2"/>
  <c r="DP67" i="2"/>
  <c r="DN67" i="2"/>
  <c r="DM5" i="4"/>
  <c r="DM7" i="4" s="1"/>
  <c r="DO5" i="4"/>
  <c r="DO7" i="4" s="1"/>
  <c r="O7" i="4"/>
  <c r="O16" i="4" s="1"/>
  <c r="O57" i="4" l="1"/>
  <c r="O23" i="4"/>
  <c r="DO16" i="4"/>
  <c r="DM56" i="4"/>
  <c r="DO56" i="4"/>
  <c r="DM16" i="4"/>
  <c r="DP69" i="2" l="1"/>
  <c r="DN69" i="2"/>
  <c r="DP11" i="2"/>
  <c r="DN11" i="2"/>
  <c r="DO23" i="4"/>
  <c r="DO27" i="4" s="1"/>
  <c r="DO32" i="4" s="1"/>
  <c r="DO57" i="4"/>
  <c r="O5" i="13"/>
  <c r="O27" i="4"/>
  <c r="O32" i="4" s="1"/>
  <c r="DM23" i="4"/>
  <c r="DM27" i="4" s="1"/>
  <c r="DM32" i="4" s="1"/>
  <c r="DM57" i="4"/>
  <c r="DO45" i="4" l="1"/>
  <c r="DO48" i="4"/>
  <c r="DO49" i="4" s="1"/>
  <c r="DM48" i="4"/>
  <c r="DM49" i="4" s="1"/>
  <c r="DM45" i="4"/>
  <c r="O45" i="4"/>
  <c r="O48" i="4"/>
  <c r="O49" i="4" s="1"/>
  <c r="DM5" i="13"/>
  <c r="DO5" i="13"/>
  <c r="DO22" i="13" s="1"/>
  <c r="DO63" i="13" s="1"/>
  <c r="DO67" i="13" s="1"/>
  <c r="O22" i="13"/>
  <c r="O63" i="13" s="1"/>
  <c r="O67" i="13" s="1"/>
  <c r="DM65" i="13" l="1"/>
  <c r="DO69" i="13"/>
  <c r="O69" i="13"/>
  <c r="DP10" i="2" l="1"/>
  <c r="DN10" i="2"/>
  <c r="DP17" i="2"/>
  <c r="DN17" i="2"/>
  <c r="DP5" i="2"/>
  <c r="DP7" i="2" s="1"/>
  <c r="DN5" i="2"/>
  <c r="DN7" i="2" s="1"/>
  <c r="DP12" i="2"/>
  <c r="DN12" i="2"/>
  <c r="DP15" i="2"/>
  <c r="DN15" i="2"/>
  <c r="DP26" i="2"/>
  <c r="DN26" i="2"/>
  <c r="P7" i="2"/>
  <c r="P72" i="2"/>
  <c r="P73" i="2"/>
  <c r="DP9" i="2" l="1"/>
  <c r="DN9" i="2"/>
  <c r="DP72" i="2"/>
  <c r="DP73" i="2" s="1"/>
  <c r="DN72" i="2"/>
  <c r="DN73" i="2" s="1"/>
  <c r="DP14" i="2"/>
  <c r="DN14" i="2"/>
  <c r="P86" i="1" l="1"/>
  <c r="P39" i="1" l="1"/>
  <c r="DP13" i="2" l="1"/>
  <c r="DP20" i="2" s="1"/>
  <c r="DP22" i="2" s="1"/>
  <c r="DN13" i="2"/>
  <c r="DN20" i="2" s="1"/>
  <c r="DN22" i="2" s="1"/>
  <c r="P20" i="2"/>
  <c r="P22" i="2" s="1"/>
  <c r="DN75" i="2" l="1"/>
  <c r="DP75" i="2"/>
  <c r="P75" i="2"/>
  <c r="DP25" i="2" l="1"/>
  <c r="DN25" i="2"/>
  <c r="DP31" i="2" l="1"/>
  <c r="DN31" i="2"/>
  <c r="P70" i="1"/>
  <c r="P88" i="1" s="1"/>
  <c r="DP24" i="2" l="1"/>
  <c r="DP29" i="2" s="1"/>
  <c r="DP33" i="2" s="1"/>
  <c r="DP38" i="2" s="1"/>
  <c r="DN24" i="2"/>
  <c r="DN29" i="2" s="1"/>
  <c r="DN33" i="2" s="1"/>
  <c r="DN38" i="2" s="1"/>
  <c r="P29" i="2"/>
  <c r="DN59" i="2" l="1"/>
  <c r="DN62" i="2"/>
  <c r="DN63" i="2" s="1"/>
  <c r="DP59" i="2"/>
  <c r="DP62" i="2"/>
  <c r="DP63" i="2" s="1"/>
  <c r="P52" i="1"/>
  <c r="P56" i="1" s="1"/>
  <c r="O5" i="3"/>
  <c r="DM5" i="3" s="1"/>
  <c r="P33" i="2"/>
  <c r="P38" i="2" s="1"/>
  <c r="DO5" i="3" l="1"/>
  <c r="DO23" i="3" s="1"/>
  <c r="DO64" i="3" s="1"/>
  <c r="DO68" i="3" s="1"/>
  <c r="DM66" i="3" s="1"/>
  <c r="O23" i="3"/>
  <c r="O64" i="3" s="1"/>
  <c r="O68" i="3" s="1"/>
  <c r="P90" i="1"/>
  <c r="P95" i="1"/>
  <c r="P62" i="2"/>
  <c r="P63" i="2" s="1"/>
  <c r="P59" i="2"/>
  <c r="O70" i="3" l="1"/>
  <c r="DO70" i="3"/>
  <c r="P21" i="1" l="1"/>
  <c r="P41" i="1" s="1"/>
  <c r="P92" i="1" s="1"/>
  <c r="BT32" i="10" l="1"/>
  <c r="CD32" i="10" l="1"/>
  <c r="BT31" i="10"/>
  <c r="CD6" i="10"/>
  <c r="BT5" i="10"/>
  <c r="CD31" i="10" l="1"/>
  <c r="CD45" i="10" s="1"/>
  <c r="CD48" i="10" s="1"/>
  <c r="BT45" i="10"/>
  <c r="BT48" i="10" s="1"/>
  <c r="BT51" i="10" s="1"/>
  <c r="CD51" i="10" s="1"/>
  <c r="BT19" i="10"/>
  <c r="BT22" i="10" s="1"/>
  <c r="BT24" i="10" s="1"/>
  <c r="CD24" i="10" s="1"/>
  <c r="CD5" i="10"/>
  <c r="CD19" i="10" s="1"/>
  <c r="CD22" i="10" s="1"/>
  <c r="DM27" i="3" l="1"/>
  <c r="DM45" i="3" s="1"/>
  <c r="M45" i="3"/>
  <c r="DM22" i="3" l="1"/>
  <c r="DM18" i="3" l="1"/>
  <c r="DM16" i="3" l="1"/>
  <c r="DM17" i="3" l="1"/>
  <c r="DM57" i="3" l="1"/>
  <c r="DM50" i="3" l="1"/>
  <c r="DM9" i="3" l="1"/>
  <c r="DM19" i="3" l="1"/>
  <c r="DM6" i="3" s="1"/>
  <c r="DM23" i="3" s="1"/>
  <c r="M6" i="3"/>
  <c r="M23" i="3" s="1"/>
  <c r="DM56" i="3" l="1"/>
  <c r="DM62" i="3" s="1"/>
  <c r="DM64" i="3" s="1"/>
  <c r="DM68" i="3" s="1"/>
  <c r="DK66" i="3" s="1"/>
  <c r="M62" i="3"/>
  <c r="M64" i="3" s="1"/>
  <c r="M68" i="3" s="1"/>
  <c r="M70" i="3" l="1"/>
  <c r="DM70" i="3"/>
  <c r="DM18" i="13" l="1"/>
  <c r="DK18" i="13"/>
  <c r="DM17" i="13"/>
  <c r="DK17" i="13"/>
  <c r="DK49" i="13"/>
  <c r="DM16" i="13" l="1"/>
  <c r="DK16" i="13"/>
  <c r="DM21" i="13"/>
  <c r="DK21" i="13"/>
  <c r="DM51" i="13"/>
  <c r="DK51" i="13"/>
  <c r="DK61" i="13" s="1"/>
  <c r="DM14" i="13"/>
  <c r="DK14" i="13"/>
  <c r="DM15" i="13"/>
  <c r="DK15" i="13"/>
  <c r="DK40" i="13"/>
  <c r="DM49" i="13"/>
  <c r="DM40" i="13" l="1"/>
  <c r="DK37" i="13"/>
  <c r="DM42" i="13" l="1"/>
  <c r="DK42" i="13"/>
  <c r="DM41" i="13"/>
  <c r="DK41" i="13"/>
  <c r="DM19" i="13"/>
  <c r="DK19" i="13"/>
  <c r="M39" i="13"/>
  <c r="M44" i="13" s="1"/>
  <c r="DK13" i="13"/>
  <c r="DK6" i="13" s="1"/>
  <c r="DK22" i="13" s="1"/>
  <c r="DM37" i="13"/>
  <c r="DM39" i="13" l="1"/>
  <c r="DK39" i="13"/>
  <c r="DK44" i="13" s="1"/>
  <c r="DK63" i="13" s="1"/>
  <c r="DM44" i="13"/>
  <c r="DM13" i="13"/>
  <c r="DM6" i="13" s="1"/>
  <c r="DM22" i="13" s="1"/>
  <c r="M6" i="13"/>
  <c r="M22" i="13" s="1"/>
  <c r="DM56" i="13" l="1"/>
  <c r="DM61" i="13" s="1"/>
  <c r="DM63" i="13" s="1"/>
  <c r="DM67" i="13" s="1"/>
  <c r="DK65" i="13" s="1"/>
  <c r="DK67" i="13" s="1"/>
  <c r="M61" i="13"/>
  <c r="M63" i="13" s="1"/>
  <c r="M67" i="13" s="1"/>
  <c r="DK69" i="13" l="1"/>
  <c r="DI65" i="13"/>
  <c r="DI67" i="13" s="1"/>
  <c r="DM69" i="13"/>
  <c r="M69" i="13"/>
  <c r="DI69" i="13" l="1"/>
  <c r="DK27" i="3"/>
  <c r="BN46" i="10" l="1"/>
  <c r="BN40" i="10" l="1"/>
  <c r="BN38" i="10"/>
  <c r="BN34" i="10" l="1"/>
  <c r="BP8" i="10"/>
  <c r="BN5" i="10"/>
  <c r="BN37" i="10"/>
  <c r="BN31" i="10" l="1"/>
  <c r="BP34" i="10"/>
  <c r="BH39" i="10" l="1"/>
  <c r="BH38" i="10"/>
  <c r="DK22" i="3" l="1"/>
  <c r="DK8" i="3" l="1"/>
  <c r="BH32" i="10" l="1"/>
  <c r="BH31" i="10" s="1"/>
  <c r="BH5" i="10"/>
  <c r="BL46" i="10" l="1"/>
  <c r="BN43" i="10" l="1"/>
  <c r="BF39" i="10" l="1"/>
  <c r="BF46" i="10"/>
  <c r="BP12" i="10" l="1"/>
  <c r="BF38" i="10"/>
  <c r="BP38" i="10" s="1"/>
  <c r="BL43" i="10" l="1"/>
  <c r="BP43" i="10" s="1"/>
  <c r="BP17" i="10"/>
  <c r="BF37" i="10"/>
  <c r="BF10" i="10"/>
  <c r="BF36" i="10" l="1"/>
  <c r="BN39" i="10" l="1"/>
  <c r="BN36" i="10" s="1"/>
  <c r="BN45" i="10" s="1"/>
  <c r="BN48" i="10" s="1"/>
  <c r="BN51" i="10" s="1"/>
  <c r="BN10" i="10"/>
  <c r="BN19" i="10" s="1"/>
  <c r="BN22" i="10" s="1"/>
  <c r="BN24" i="10" s="1"/>
  <c r="BL40" i="10" l="1"/>
  <c r="BP40" i="10" s="1"/>
  <c r="BP14" i="10"/>
  <c r="BF33" i="10" l="1"/>
  <c r="BP33" i="10" s="1"/>
  <c r="BP7" i="10"/>
  <c r="BF32" i="10" l="1"/>
  <c r="BF5" i="10"/>
  <c r="BP6" i="10"/>
  <c r="BF19" i="10" l="1"/>
  <c r="BF22" i="10" s="1"/>
  <c r="BF24" i="10" s="1"/>
  <c r="BP5" i="10"/>
  <c r="BF31" i="10"/>
  <c r="BP32" i="10"/>
  <c r="BL39" i="10" l="1"/>
  <c r="BL10" i="10"/>
  <c r="BL19" i="10" s="1"/>
  <c r="BL22" i="10" s="1"/>
  <c r="BL24" i="10" s="1"/>
  <c r="BP13" i="10"/>
  <c r="BP31" i="10"/>
  <c r="BF45" i="10"/>
  <c r="BF48" i="10" s="1"/>
  <c r="BF51" i="10" s="1"/>
  <c r="BL36" i="10" l="1"/>
  <c r="BL45" i="10" s="1"/>
  <c r="BL48" i="10" s="1"/>
  <c r="BL51" i="10" s="1"/>
  <c r="BP39" i="10"/>
  <c r="DK15" i="3" l="1"/>
  <c r="DK43" i="3"/>
  <c r="DK41" i="3" l="1"/>
  <c r="DK18" i="3"/>
  <c r="DK14" i="3" l="1"/>
  <c r="DK50" i="3" l="1"/>
  <c r="DK57" i="3"/>
  <c r="DK42" i="3" l="1"/>
  <c r="DK45" i="3" s="1"/>
  <c r="K45" i="3"/>
  <c r="DK17" i="3" l="1"/>
  <c r="DK9" i="3" l="1"/>
  <c r="BH46" i="10" l="1"/>
  <c r="BP46" i="10" s="1"/>
  <c r="BP20" i="10"/>
  <c r="BH37" i="10" l="1"/>
  <c r="BH10" i="10"/>
  <c r="BP11" i="10"/>
  <c r="BH19" i="10" l="1"/>
  <c r="BH22" i="10" s="1"/>
  <c r="BH24" i="10" s="1"/>
  <c r="BP24" i="10" s="1"/>
  <c r="BP10" i="10"/>
  <c r="BP19" i="10" s="1"/>
  <c r="BP22" i="10" s="1"/>
  <c r="BH36" i="10"/>
  <c r="BP37" i="10"/>
  <c r="BH45" i="10" l="1"/>
  <c r="BH48" i="10" s="1"/>
  <c r="BH51" i="10" s="1"/>
  <c r="BP51" i="10" s="1"/>
  <c r="BP36" i="10"/>
  <c r="BP45" i="10" s="1"/>
  <c r="BP48" i="10" s="1"/>
  <c r="DK16" i="3" l="1"/>
  <c r="DK52" i="3" l="1"/>
  <c r="DK19" i="3" l="1"/>
  <c r="DK6" i="3" s="1"/>
  <c r="DK23" i="3" s="1"/>
  <c r="K6" i="3"/>
  <c r="K23" i="3" s="1"/>
  <c r="DK56" i="3" l="1"/>
  <c r="DK62" i="3" s="1"/>
  <c r="DK64" i="3" s="1"/>
  <c r="DK68" i="3" s="1"/>
  <c r="DI66" i="3" s="1"/>
  <c r="K62" i="3"/>
  <c r="K64" i="3" s="1"/>
  <c r="K68" i="3" s="1"/>
  <c r="I66" i="3" s="1"/>
  <c r="DK70" i="3" l="1"/>
  <c r="K70" i="3"/>
  <c r="AZ43" i="10" l="1"/>
  <c r="AT46" i="10" l="1"/>
  <c r="AT32" i="10" l="1"/>
  <c r="AT31" i="10" s="1"/>
  <c r="AT5" i="10"/>
  <c r="AR46" i="10"/>
  <c r="AZ34" i="10"/>
  <c r="AZ5" i="10"/>
  <c r="BB8" i="10"/>
  <c r="AX43" i="10"/>
  <c r="BB43" i="10" s="1"/>
  <c r="BB17" i="10"/>
  <c r="BB34" i="10" l="1"/>
  <c r="AZ31" i="10"/>
  <c r="AR33" i="10"/>
  <c r="BB33" i="10" s="1"/>
  <c r="BB7" i="10"/>
  <c r="AR5" i="10" l="1"/>
  <c r="BB5" i="10" s="1"/>
  <c r="AR32" i="10"/>
  <c r="BB6" i="10"/>
  <c r="AR31" i="10" l="1"/>
  <c r="BB32" i="10"/>
  <c r="BB31" i="10" l="1"/>
  <c r="AX40" i="10" l="1"/>
  <c r="AZ46" i="10" l="1"/>
  <c r="AZ39" i="10"/>
  <c r="AZ38" i="10"/>
  <c r="AZ40" i="10" l="1"/>
  <c r="BB40" i="10" s="1"/>
  <c r="BB14" i="10"/>
  <c r="AZ41" i="10"/>
  <c r="BB41" i="10" s="1"/>
  <c r="BB15" i="10"/>
  <c r="AZ37" i="10" l="1"/>
  <c r="AZ36" i="10" s="1"/>
  <c r="AZ45" i="10" s="1"/>
  <c r="AZ48" i="10" s="1"/>
  <c r="AZ51" i="10" s="1"/>
  <c r="AZ10" i="10"/>
  <c r="AZ19" i="10" s="1"/>
  <c r="AZ22" i="10" s="1"/>
  <c r="AZ24" i="10" s="1"/>
  <c r="AT39" i="10" l="1"/>
  <c r="AT38" i="10"/>
  <c r="AR37" i="10" l="1"/>
  <c r="AX39" i="10"/>
  <c r="AX36" i="10" s="1"/>
  <c r="AX45" i="10" s="1"/>
  <c r="AX10" i="10"/>
  <c r="AX19" i="10" s="1"/>
  <c r="AX22" i="10" s="1"/>
  <c r="AX24" i="10" s="1"/>
  <c r="AX46" i="10"/>
  <c r="BB46" i="10" s="1"/>
  <c r="BB20" i="10"/>
  <c r="AX48" i="10" l="1"/>
  <c r="AX51" i="10" s="1"/>
  <c r="AT10" i="10"/>
  <c r="AT19" i="10" s="1"/>
  <c r="AT22" i="10" s="1"/>
  <c r="AT24" i="10" s="1"/>
  <c r="AT37" i="10"/>
  <c r="BB11" i="10"/>
  <c r="AT36" i="10" l="1"/>
  <c r="AT45" i="10" s="1"/>
  <c r="AT48" i="10" s="1"/>
  <c r="AT51" i="10" s="1"/>
  <c r="BB37" i="10"/>
  <c r="DI13" i="3" l="1"/>
  <c r="DI22" i="3" l="1"/>
  <c r="DI15" i="3"/>
  <c r="DI18" i="3" l="1"/>
  <c r="DI16" i="3" l="1"/>
  <c r="DI57" i="3" l="1"/>
  <c r="DI17" i="3" l="1"/>
  <c r="AR38" i="10" l="1"/>
  <c r="BB12" i="10"/>
  <c r="BB38" i="10" l="1"/>
  <c r="AR39" i="10" l="1"/>
  <c r="BB13" i="10"/>
  <c r="AR10" i="10"/>
  <c r="AR19" i="10" l="1"/>
  <c r="AR22" i="10" s="1"/>
  <c r="AR24" i="10" s="1"/>
  <c r="BB24" i="10" s="1"/>
  <c r="BB10" i="10"/>
  <c r="BB19" i="10" s="1"/>
  <c r="BB22" i="10" s="1"/>
  <c r="BB39" i="10"/>
  <c r="AR36" i="10"/>
  <c r="BB36" i="10" l="1"/>
  <c r="BB45" i="10" s="1"/>
  <c r="BB48" i="10" s="1"/>
  <c r="AR45" i="10"/>
  <c r="AR48" i="10" s="1"/>
  <c r="AR51" i="10" s="1"/>
  <c r="BB51" i="10" s="1"/>
  <c r="I62" i="3" l="1"/>
  <c r="DI50" i="3"/>
  <c r="DI62" i="3" s="1"/>
  <c r="DI14" i="3" l="1"/>
  <c r="DI41" i="3" l="1"/>
  <c r="DI8" i="3" l="1"/>
  <c r="DI43" i="3" l="1"/>
  <c r="I45" i="3" l="1"/>
  <c r="DI38" i="3"/>
  <c r="DI45" i="3" s="1"/>
  <c r="DI19" i="3" l="1"/>
  <c r="DI9" i="3" l="1"/>
  <c r="I6" i="3"/>
  <c r="I23" i="3" l="1"/>
  <c r="I64" i="3" s="1"/>
  <c r="I68" i="3" s="1"/>
  <c r="DI6" i="3"/>
  <c r="DI23" i="3" s="1"/>
  <c r="DI64" i="3" s="1"/>
  <c r="DI68" i="3" s="1"/>
  <c r="DI70" i="3" s="1"/>
  <c r="I70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Romuald Harwas</author>
  </authors>
  <commentList>
    <comment ref="VY13" authorId="0" shapeId="0" xr:uid="{00000000-0006-0000-0600-000001000000}">
      <text>
        <r>
          <rPr>
            <b/>
            <sz val="9"/>
            <color indexed="81"/>
            <rFont val="Tahoma"/>
            <family val="2"/>
            <charset val="238"/>
          </rPr>
          <t>Romuald Harwas: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XY13" authorId="0" shapeId="0" xr:uid="{00000000-0006-0000-0600-000002000000}">
      <text>
        <r>
          <rPr>
            <b/>
            <sz val="9"/>
            <color indexed="81"/>
            <rFont val="Tahoma"/>
            <family val="2"/>
            <charset val="238"/>
          </rPr>
          <t>Romuald Harwas:</t>
        </r>
        <r>
          <rPr>
            <sz val="9"/>
            <color indexed="81"/>
            <rFont val="Tahoma"/>
            <family val="2"/>
            <charset val="238"/>
          </rPr>
          <t xml:space="preserve">
przeliczone wg. nowej kalkulacji</t>
        </r>
      </text>
    </comment>
    <comment ref="XB50" authorId="0" shapeId="0" xr:uid="{00000000-0006-0000-0600-000003000000}">
      <text>
        <r>
          <rPr>
            <b/>
            <sz val="9"/>
            <color indexed="81"/>
            <rFont val="Tahoma"/>
            <family val="2"/>
            <charset val="238"/>
          </rPr>
          <t>Romuald Harwas:</t>
        </r>
        <r>
          <rPr>
            <sz val="9"/>
            <color indexed="81"/>
            <rFont val="Tahoma"/>
            <family val="2"/>
            <charset val="238"/>
          </rPr>
          <t xml:space="preserve">
korekta błędu w amortyzacji Iason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Romuald Harwas</author>
  </authors>
  <commentList>
    <comment ref="BQ25" authorId="0" shapeId="0" xr:uid="{00000000-0006-0000-0800-000001000000}">
      <text>
        <r>
          <rPr>
            <b/>
            <sz val="9"/>
            <color indexed="81"/>
            <rFont val="Tahoma"/>
            <family val="2"/>
            <charset val="238"/>
          </rPr>
          <t>Romuald Harwas:</t>
        </r>
        <r>
          <rPr>
            <sz val="9"/>
            <color indexed="81"/>
            <rFont val="Tahoma"/>
            <family val="2"/>
            <charset val="238"/>
          </rPr>
          <t xml:space="preserve">
Uwaga na znak przy podatku</t>
        </r>
      </text>
    </comment>
  </commentList>
</comments>
</file>

<file path=xl/sharedStrings.xml><?xml version="1.0" encoding="utf-8"?>
<sst xmlns="http://schemas.openxmlformats.org/spreadsheetml/2006/main" count="3450" uniqueCount="326">
  <si>
    <t>30.09.2014</t>
  </si>
  <si>
    <t>30.06.2014</t>
  </si>
  <si>
    <t>31.03.2014</t>
  </si>
  <si>
    <t>31.12.2013</t>
  </si>
  <si>
    <t>30.09.2013</t>
  </si>
  <si>
    <t>30.06.2013</t>
  </si>
  <si>
    <t>Według MSSF</t>
  </si>
  <si>
    <t>AKTYWA</t>
  </si>
  <si>
    <t>Aktywa trwałe</t>
  </si>
  <si>
    <t xml:space="preserve">Wartość firmy </t>
  </si>
  <si>
    <t>Pozostałe wartości niematerialne</t>
  </si>
  <si>
    <t>Rzeczowe aktywa trwałe</t>
  </si>
  <si>
    <t>Inwestycje w jednostkach wycenianych metodą praw własności</t>
  </si>
  <si>
    <t>Należności handlowe oraz pozostałe należności</t>
  </si>
  <si>
    <t>Pozostałe aktywa finansowe, w tym:</t>
  </si>
  <si>
    <t>Udzielone pożyczki</t>
  </si>
  <si>
    <t>Aktywa dostępne do sprzedaży</t>
  </si>
  <si>
    <t>Aktywa przeznaczone do obrotu</t>
  </si>
  <si>
    <t>Aktywa utrzymywane do terminu wymagalności</t>
  </si>
  <si>
    <t>Aktywa z tytułu podatku odroczonego</t>
  </si>
  <si>
    <t>Pozostałe aktywa niefinansowe</t>
  </si>
  <si>
    <t>Aktywa trwałe razem</t>
  </si>
  <si>
    <t>Aktywa obrotowe</t>
  </si>
  <si>
    <t>Zapasy</t>
  </si>
  <si>
    <t>Bieżące należności z tytułu podatku dochodowego</t>
  </si>
  <si>
    <t>Środki pieniężne i ich ekwiwalenty</t>
  </si>
  <si>
    <t>Aktywa klasyfikowane jako przeznaczone do sprzedaży</t>
  </si>
  <si>
    <t>Aktywa obrotowe razem</t>
  </si>
  <si>
    <t>Aktywa razem</t>
  </si>
  <si>
    <t>Kapitał własny</t>
  </si>
  <si>
    <t>Kapitał podstawowy</t>
  </si>
  <si>
    <t>Kapitał zapasowy</t>
  </si>
  <si>
    <t>Kapitał rezerwowy</t>
  </si>
  <si>
    <t>Zyski zatrzymane</t>
  </si>
  <si>
    <t>Wynik bieżącego okresu</t>
  </si>
  <si>
    <t>Kapitały przypadające akcjonariuszom jednostki dominującej</t>
  </si>
  <si>
    <t>Kapitały przypadające udziałowcom mniejszościowym</t>
  </si>
  <si>
    <t>Razem kapitał własny</t>
  </si>
  <si>
    <t>Zobowiązania długoterminowe</t>
  </si>
  <si>
    <t>Długoterminowe pożyczki, instrumenty dłużne i kredyty bankowe</t>
  </si>
  <si>
    <t>Zobowiązania handlowe oraz pozostałe zobowiązania</t>
  </si>
  <si>
    <t>Pozostałe zobowiązania finansowe, w tym:</t>
  </si>
  <si>
    <t>Zobowiąznia finansowe wyceniane w wartości godziwej</t>
  </si>
  <si>
    <t>Inne zobowiązania finansowe</t>
  </si>
  <si>
    <t>Rezerwy z tytułu świadczeń pracowniczych</t>
  </si>
  <si>
    <t>Rezerwa na podatek odroczony</t>
  </si>
  <si>
    <t>Pozostałe rezerwy długoterminowe</t>
  </si>
  <si>
    <t>Pozostałe zobowiązania niefinansowe</t>
  </si>
  <si>
    <t>Zobowiązania długoterminowe razem</t>
  </si>
  <si>
    <t>Zobowiązania krótkoterminowe</t>
  </si>
  <si>
    <t>Krótkoterminowe pożyczki, instrumenty dłużne i kredyty bankowe</t>
  </si>
  <si>
    <t>Pozostałe zobowiązania finansowe</t>
  </si>
  <si>
    <t>Bieżące zobowiązania z tytułu podatku dochodowego</t>
  </si>
  <si>
    <t>Pozostałe rezerwy krótkoterminowe</t>
  </si>
  <si>
    <t>Zobowiązania związane bezpośrednio z aktywami trwałymi klasyfikowanymi jako przeznaczone do sprzedaży</t>
  </si>
  <si>
    <t>Zobowiązania krótkoterminowe razem</t>
  </si>
  <si>
    <t>Zobowiązania razem</t>
  </si>
  <si>
    <t>Zobowiązania i kapitał własny razem razem</t>
  </si>
  <si>
    <t>Kwartał zakończony</t>
  </si>
  <si>
    <t>Przychody ze sprzedaży produktów</t>
  </si>
  <si>
    <t>Przychody ze sprzedażt towarów</t>
  </si>
  <si>
    <t>Razem przychody</t>
  </si>
  <si>
    <t>Amortyzacja</t>
  </si>
  <si>
    <t>Pozostałe (koszty) przychody netto</t>
  </si>
  <si>
    <t>Wartość sprzedanych towarów</t>
  </si>
  <si>
    <t>Zysk (strata) na działalności operacyjnej</t>
  </si>
  <si>
    <t>Przychody finansowe</t>
  </si>
  <si>
    <t>Koszty finansowe</t>
  </si>
  <si>
    <t xml:space="preserve">Udział w zyskach jednostek stowarzyszonych </t>
  </si>
  <si>
    <t>Zysk (strata) na sprzedaży całości lub części udziałów jednostek podporządkowanych</t>
  </si>
  <si>
    <t>Zysk (strata) przed opodatkowaniem</t>
  </si>
  <si>
    <t>Podatek dochodowy</t>
  </si>
  <si>
    <t>Zysk (strata) netto z działalności kontynuowanej</t>
  </si>
  <si>
    <t>Działalność zaniechana</t>
  </si>
  <si>
    <t>Zysk (strata) netto z działalności zaniechanej</t>
  </si>
  <si>
    <t>Zysk (strata) netto</t>
  </si>
  <si>
    <t>Inne całkowite dochody</t>
  </si>
  <si>
    <t>Różnice kursowe z przeliczenia jednostek zagranicznych</t>
  </si>
  <si>
    <t>Skutki wyceny aktywów finansowych dostepnych do sprzedaży</t>
  </si>
  <si>
    <t>Rachunkowość zabezpieczeń przepływów pienięznych</t>
  </si>
  <si>
    <t>Skutki aktualizacji majatku trwałego</t>
  </si>
  <si>
    <t>Zyski i straty aktuarialne</t>
  </si>
  <si>
    <t>Udział w innych całkowitych dochodach jednostek stowarzyszonych</t>
  </si>
  <si>
    <t>Podatek dochodowy dotyczący innych całkowitych dochodów</t>
  </si>
  <si>
    <t>Inne całkowite dochody (netto)</t>
  </si>
  <si>
    <t>Całkowite dochody ogółem</t>
  </si>
  <si>
    <t>Koszt własny sprzedaży</t>
  </si>
  <si>
    <t>Koszty sprzedaży</t>
  </si>
  <si>
    <t>Koszty zarządu</t>
  </si>
  <si>
    <t>Przepływy pieniężne z działalności operacyjnej</t>
  </si>
  <si>
    <t>Korekty o pozycje:</t>
  </si>
  <si>
    <t>Zyski i straty z wyceny udziałów metodą praw własności</t>
  </si>
  <si>
    <t>Różnice kursowe</t>
  </si>
  <si>
    <t>Odsetki zapłacone</t>
  </si>
  <si>
    <t>Dywidendy otrzymane</t>
  </si>
  <si>
    <t>(Zyski) straty z działalności inwestycyjnej</t>
  </si>
  <si>
    <t>Zmiana stanu zapasów</t>
  </si>
  <si>
    <t>Zmiana stanu należności handlowych i pozostałych</t>
  </si>
  <si>
    <t>Zmiana stanu zobowiązań handlowych i pozostałych</t>
  </si>
  <si>
    <t>Zmiana stanu rezerw</t>
  </si>
  <si>
    <t>Zmiana stanu innych aktywów i zobowiązań</t>
  </si>
  <si>
    <t xml:space="preserve">Inne </t>
  </si>
  <si>
    <t>Przepływy pieniężne netto z działalności operacyjnej</t>
  </si>
  <si>
    <t>Przepływy z działalności inwestycyjnej</t>
  </si>
  <si>
    <t>Wpływy</t>
  </si>
  <si>
    <t>Zbycie wartości niematerialnych oraz rzeczowych aktywów trwałych</t>
  </si>
  <si>
    <t>Zbycie nieruchomości inwestycyjnych</t>
  </si>
  <si>
    <t>Wpływy z aktywów finansowych, w tym:</t>
  </si>
  <si>
    <t>zbycie aktywów finansowych</t>
  </si>
  <si>
    <t>dywidendy i udziały w zyskach</t>
  </si>
  <si>
    <t>spłata udzielonych pożyczek</t>
  </si>
  <si>
    <t>odsetki otrzymane</t>
  </si>
  <si>
    <t>inne wpływy z aktywów finansowych</t>
  </si>
  <si>
    <t>Inne wpływy inwestycyjne</t>
  </si>
  <si>
    <t>Wydatki</t>
  </si>
  <si>
    <t>Nabycie wartości niematerialnych oraz rzeczowych aktywów trwałych</t>
  </si>
  <si>
    <t>Nabycie nieruchomości inwestycyjnych</t>
  </si>
  <si>
    <t>Wydatki na aktywa finansowe:</t>
  </si>
  <si>
    <t>nabycie jednostki zależnej</t>
  </si>
  <si>
    <t>udzielone pożyczki</t>
  </si>
  <si>
    <t>inne wydatki na aktywa finansowe</t>
  </si>
  <si>
    <t>Inne wydatki inwestycyjne</t>
  </si>
  <si>
    <t>Przepływy pieniężne netto z działalności inwestycyjnej</t>
  </si>
  <si>
    <t>Przepływy z działalności finansowej</t>
  </si>
  <si>
    <t xml:space="preserve">Wpływy netto z emisji instrumentów kapitałowych </t>
  </si>
  <si>
    <t>Zaciągnięte kredyty i pożyczki</t>
  </si>
  <si>
    <t>Emisja dłużnych papierów wartościowych</t>
  </si>
  <si>
    <t>Zaciągnięcie innych zobowiązań finansowych</t>
  </si>
  <si>
    <t>Inne wpływy finansowe</t>
  </si>
  <si>
    <t>Nabycie udziałów (akcji) własnych</t>
  </si>
  <si>
    <t>Dywidendy i inne wypłaty na rzecz właścicieli</t>
  </si>
  <si>
    <t>Spłaty kredytów i pożyczek</t>
  </si>
  <si>
    <t>Wykup dłużnych papierów wartościowych</t>
  </si>
  <si>
    <t>Inne wydatki finansowe</t>
  </si>
  <si>
    <t>Przepływy pieniężne netto z działalności finansowej</t>
  </si>
  <si>
    <t>Zwiększenie netto środków pieniężnych i ich ekwiwalentów</t>
  </si>
  <si>
    <t>Środki pieniężne i ich ekwiwalenty na początek roku obrotowego</t>
  </si>
  <si>
    <t>Wpływ zmian kursów walut na saldo środków pieniężnych w walutach obcych</t>
  </si>
  <si>
    <t>Środki pieniężne i ich ekwiwalenty na koniec roku obrotowego</t>
  </si>
  <si>
    <t>Sprzęt diagnostyczny i IT</t>
  </si>
  <si>
    <t>Produkcja radiofarma-ceutyków</t>
  </si>
  <si>
    <t>Usługi serwisowo-pomiarowe</t>
  </si>
  <si>
    <t>Pozycje nieprzypisane</t>
  </si>
  <si>
    <t>Eliminacje</t>
  </si>
  <si>
    <t>Sprawozdanie skonsoli-dowane</t>
  </si>
  <si>
    <t>Przychody:</t>
  </si>
  <si>
    <t>Sprzedaż krajowa</t>
  </si>
  <si>
    <t>Sprzedaż eksportowa</t>
  </si>
  <si>
    <t>Sprzedaż wewnętrzna</t>
  </si>
  <si>
    <t>Koszty operacyjne:</t>
  </si>
  <si>
    <t>EBIT</t>
  </si>
  <si>
    <t>EBITDA</t>
  </si>
  <si>
    <t>Segmenty operacyjne za okres 3 m-cy zakończonych 30.09.2014</t>
  </si>
  <si>
    <t>Segmenty operacyjne za okres 9 m-cy zakończonych 30.09.2014</t>
  </si>
  <si>
    <t>Segmenty operacyjne za okres 3 m-cy zakończonych 30.09.2013</t>
  </si>
  <si>
    <t>Segmenty operacyjne za okres 9 m-cy zakończonych 30.09.2013</t>
  </si>
  <si>
    <t>EBIT w %</t>
  </si>
  <si>
    <t>EBITDA w %</t>
  </si>
  <si>
    <t>Eliminacje i pozycje nieprzypisane</t>
  </si>
  <si>
    <t>SEGMENTY OPERACYJNE 2011</t>
  </si>
  <si>
    <t>SEGMENTY OPERACYJNE 2012</t>
  </si>
  <si>
    <t>SEGMENTY OPERACYJNE 2013</t>
  </si>
  <si>
    <t>31.12.2014</t>
  </si>
  <si>
    <t>31.03.2015</t>
  </si>
  <si>
    <t>Zmiana stanu produktów</t>
  </si>
  <si>
    <t>Koszt wytworzenia produktów na własne potrzeby jednostki</t>
  </si>
  <si>
    <t>Zużycie surowców i materiałów</t>
  </si>
  <si>
    <t>Usługi obce</t>
  </si>
  <si>
    <t>Koszty świadczeń pracowniczych</t>
  </si>
  <si>
    <t>Podatki i opłaty oraz pozostałe koszty</t>
  </si>
  <si>
    <t>Razem koszty dzialalności operacyjnej</t>
  </si>
  <si>
    <t>Inne całkowite dochody - Składniki, które nie zostaną przeniesione w późniejszych okresach do Rachunku Zysków i Strat</t>
  </si>
  <si>
    <t>Skutki wyceny aktywów finansowych dostępnych do sprzedaży</t>
  </si>
  <si>
    <t>Rachunkowość zabezpieczeń przepływów pieniężnych</t>
  </si>
  <si>
    <t>Skutki aktualizacji majątku trwałego</t>
  </si>
  <si>
    <t>Inne całkowite dochody - Składniki, które mogą zostać przeniesione w późniejszych okresach do Rachunku Zysków i Strat</t>
  </si>
  <si>
    <t>Różnice kursowe powstałe z przeliczenia jednostek zagranicznych</t>
  </si>
  <si>
    <t>Inne</t>
  </si>
  <si>
    <t>UKŁAD KALKULACYNY</t>
  </si>
  <si>
    <t>SEGMENTY OPERACYJNE 2014</t>
  </si>
  <si>
    <t>SEGMENTY OPERACYJNE 2010</t>
  </si>
  <si>
    <t>31.06.2015</t>
  </si>
  <si>
    <t>30.06.2015</t>
  </si>
  <si>
    <t xml:space="preserve">Segmenty operacyjne za okres 3 m-cy zakończonych 31.03.2014 </t>
  </si>
  <si>
    <t xml:space="preserve">Segmenty operacyjne za okres 6 m-cy zakończonych 31.06.2014 </t>
  </si>
  <si>
    <t>Segmenty operacyjne za okres 3 m-cy zakończonych 31.03.2015</t>
  </si>
  <si>
    <t>Segmenty operacyjne za okres 6 m-cy zakończonych 30.06.2015</t>
  </si>
  <si>
    <t>30.09.2015</t>
  </si>
  <si>
    <t>31.12.2012</t>
  </si>
  <si>
    <t>31.12.2011</t>
  </si>
  <si>
    <t>Liczba akcji na koniec okresu</t>
  </si>
  <si>
    <t>GRUPA SYNEKTIK SA - SKONSOLIDOWANE SPRAWOZDANIE Z SYTUACJI FINANSOWEJ</t>
  </si>
  <si>
    <t>Okres 6 miesięcy</t>
  </si>
  <si>
    <t>Okres 9 mniesięcy</t>
  </si>
  <si>
    <t>Okres 12 miesięcy</t>
  </si>
  <si>
    <t>Okres 3 miesięcy</t>
  </si>
  <si>
    <t>GRUPA SYNEKTIK SA - SKONSOLIDOWANE SPRAWOZDANIE Z CAŁKOWITYCH DOCHODÓW</t>
  </si>
  <si>
    <t>Średnia ważona liczba akcji</t>
  </si>
  <si>
    <t>Zysk (strata) na jedną akcję</t>
  </si>
  <si>
    <t>Rozwodniony Zysk (strata) na jedną akcję</t>
  </si>
  <si>
    <t>GRUPA SYNEKTIK SA - SKONSOLIDOWANE SPRAWOZDANIE Z PRZEPŁYWÓE PIENIĘŻNYCH</t>
  </si>
  <si>
    <t>Segmenty operacyjne za okres 9 m-cy zakończonych 30.09.2015</t>
  </si>
  <si>
    <t>SEGMENTY OPERACYJNE 2015</t>
  </si>
  <si>
    <t>Segmenty operacyjne za okres 3m-cy zakończonych 30.09.2015</t>
  </si>
  <si>
    <t>GRUPA SYNEKTIK SA - SEGMENTY OPERACYJNE</t>
  </si>
  <si>
    <t>Segmenty operacyjne za okres 3m-cy zakończonych 30.06.2015</t>
  </si>
  <si>
    <t>Segmenty operacyjne za okres 3m-cy zakończonych 30.09.2014</t>
  </si>
  <si>
    <t>Segmenty operacyjne za okres 3m-cy zakończonych 30.06.2014</t>
  </si>
  <si>
    <t>Segmenty operacyjne za okres 3m-cy zakończonych 31.12.2013</t>
  </si>
  <si>
    <t>Wartość księgowa na jedną akcję</t>
  </si>
  <si>
    <t>SYNEKTIK SA - JEDNOSTKOWE SPRAWOZDANIE Z CAŁKOWITYCH DOCHODÓW</t>
  </si>
  <si>
    <t>SYNEKTIK SA - JEDNOSTKOWE SPRAWOZDANIE Z SYTUACJI FINANSOWEJ</t>
  </si>
  <si>
    <t>31.12.2015</t>
  </si>
  <si>
    <t>Segmenty operacyjne za okres 12 m-cy zakończonych 31.12.2015</t>
  </si>
  <si>
    <t>Segmenty operacyjne za okres 3m-cy zakończonych 31.12.2015</t>
  </si>
  <si>
    <t>Okres 12 miesięcy PO korekcie błędu</t>
  </si>
  <si>
    <t>Segmenty operacyjne za okres 3m-cy zakończonych 31.12.2014 po korekcie błędu</t>
  </si>
  <si>
    <t>31.12.2016</t>
  </si>
  <si>
    <t>30.09.2016</t>
  </si>
  <si>
    <t>30.06.2016</t>
  </si>
  <si>
    <t>31.03.2016</t>
  </si>
  <si>
    <t>Segmenty operacyjne za okres 12 m-cy zakończonych 31.12.2016</t>
  </si>
  <si>
    <t>Segmenty operacyjne za okres 9 m-cy zakończonych 30.09.2016</t>
  </si>
  <si>
    <t>Segmenty operacyjne za okres 6 m-cy zakończonych 30.06.2016</t>
  </si>
  <si>
    <t>Segmenty operacyjne za okres 3 m-cy zakończonych 31.03.2016</t>
  </si>
  <si>
    <t>Segmenty operacyjne za okres 3m-cy zakończonych 31.12.2016</t>
  </si>
  <si>
    <t>Segmenty operacyjne za okres 3m-cy zakończonych 30.09.2016</t>
  </si>
  <si>
    <t>Segmenty operacyjne za okres 3m-cy zakończonych 30.06.2016</t>
  </si>
  <si>
    <t>31.06.2016</t>
  </si>
  <si>
    <t>SEGMENTY OPERACYJNE 2016</t>
  </si>
  <si>
    <t>31.03.2017</t>
  </si>
  <si>
    <t>30.06.2017</t>
  </si>
  <si>
    <t>30.09.2017</t>
  </si>
  <si>
    <t>31.12.2017</t>
  </si>
  <si>
    <t>30.09.2018</t>
  </si>
  <si>
    <t>30.06.2018</t>
  </si>
  <si>
    <t>31.03.2018</t>
  </si>
  <si>
    <t>Okres 15 miesięcy</t>
  </si>
  <si>
    <t>Okres 18 miesięcy</t>
  </si>
  <si>
    <t>Segmenty operacyjne za okres 21 m-cy zakończonych 30.09.2018</t>
  </si>
  <si>
    <t>SEGMENTY OPERACYJNE 2017</t>
  </si>
  <si>
    <t>Segmenty operacyjne za okres 18 m-cy zakończonych 30.06.2018</t>
  </si>
  <si>
    <t>Segmenty operacyjne za okres 15 m-cy zakończonych 31.03.2018</t>
  </si>
  <si>
    <t>Segmenty operacyjne za okres 12 m-cy zakończonych 31.12.2017</t>
  </si>
  <si>
    <t>Segmenty operacyjne za okres 9 m-cy zakończonych 30.09.2017</t>
  </si>
  <si>
    <t>Segmenty operacyjne za okres 6 m-cy zakończonych 30.06.2017</t>
  </si>
  <si>
    <t>Segmenty operacyjne za okres 3m-cy zakończonych 30.03.2017</t>
  </si>
  <si>
    <t>Według MSSF po korekcie błędu</t>
  </si>
  <si>
    <t>Okres 12 miesięcy po korekcie błędu</t>
  </si>
  <si>
    <t>Przychody ze sprzedaży towarów</t>
  </si>
  <si>
    <t>Udziały w jednostkach powiązanych</t>
  </si>
  <si>
    <t>Wpływy z dotacji na aktywa trwałe</t>
  </si>
  <si>
    <t>Zysk z okazjonalnego nabycia</t>
  </si>
  <si>
    <t>31.03.2019</t>
  </si>
  <si>
    <t>31.12.2018</t>
  </si>
  <si>
    <t>30.06.2019</t>
  </si>
  <si>
    <t>30.09.2019</t>
  </si>
  <si>
    <t>Okres 12 mniesięcy</t>
  </si>
  <si>
    <t>SEGMENTY OPERACYJNE 2018-19</t>
  </si>
  <si>
    <t>Segmenty operacyjne za okres 3 m-cy zakończonych 31.12.2018</t>
  </si>
  <si>
    <t>Segmenty operacyjne za okres 6 m-cy zakończonych 31.03.2019</t>
  </si>
  <si>
    <t>Segmenty operacyjne za okres 9 m-cy zakończonych 30.06.2019</t>
  </si>
  <si>
    <t>Segmenty operacyjne za okres 12 m-cy zakończonych 30.09.2019</t>
  </si>
  <si>
    <t>Według MSSF po przekształceniu</t>
  </si>
  <si>
    <t>Koszty prac rozwojowych</t>
  </si>
  <si>
    <t>Okres 21 mniesięcy po przekształceniu</t>
  </si>
  <si>
    <t>Wpływy z dotacji na prace rozwojowe</t>
  </si>
  <si>
    <t>Centrum Badawczo-Rozwojowe</t>
  </si>
  <si>
    <t>EBITDA ZNORMALIZOWANA</t>
  </si>
  <si>
    <t>31.12.2019</t>
  </si>
  <si>
    <t>31.03.2020</t>
  </si>
  <si>
    <t>30.06.2020</t>
  </si>
  <si>
    <t>30.09.2020</t>
  </si>
  <si>
    <t>Segmenty operacyjne za okres 3 m-cy zakończonych 31.12.2019</t>
  </si>
  <si>
    <t>Segmenty operacyjne za okres 6 m-cy zakończonych 31.03.2020</t>
  </si>
  <si>
    <t>Segmenty operacyjne za okres 9 m-cy zakończonych 30.06.2020</t>
  </si>
  <si>
    <t>Segmenty operacyjne za okres 12 m-cy zakończonych 30.09.2020</t>
  </si>
  <si>
    <t>SEGMENTY OPERACYJNE 2019-20</t>
  </si>
  <si>
    <t>Aktywa z tytułu praw do użytkowania</t>
  </si>
  <si>
    <t>30.09.2021</t>
  </si>
  <si>
    <t>30.06.2021</t>
  </si>
  <si>
    <t>31.03.2021</t>
  </si>
  <si>
    <t>31.12.2020</t>
  </si>
  <si>
    <t>Spłaty rat leasingowych</t>
  </si>
  <si>
    <t>Segmenty operacyjne za okres 3 m-cy zakończonych 31.12.2020</t>
  </si>
  <si>
    <t>Segmenty operacyjne za okres 6 m-cy zakończonych 31.03.2021</t>
  </si>
  <si>
    <t>Segmenty operacyjne za okres 9 m-cy zakończonych 30.06.2021</t>
  </si>
  <si>
    <t>Segmenty operacyjne za okres 12 m-cy zakończonych 30.09.2021</t>
  </si>
  <si>
    <t>SEGMENTY OPERACYJNE 2020-21</t>
  </si>
  <si>
    <t>Naliczone odsetki do otrzymania</t>
  </si>
  <si>
    <t>Należności z tytułu leasingu</t>
  </si>
  <si>
    <t>Zobowiązania z tytułu leasingu</t>
  </si>
  <si>
    <t xml:space="preserve">Zobowiązania z tytułu leasingu </t>
  </si>
  <si>
    <t>SYNEKTIK SA - JEDNOSTKOWE SPRAWOZDANIE Z PRZEPŁYWÓW PIENIĘŻNYCH</t>
  </si>
  <si>
    <t>SEGMENTY OPERACYJNE 2021-22</t>
  </si>
  <si>
    <t>Segmenty operacyjne za okres 3 m-cy zakończonych 31.12.2021</t>
  </si>
  <si>
    <t>Segmenty operacyjne za okres 6 m-cy zakończonych 31.03.2022</t>
  </si>
  <si>
    <t>Segmenty operacyjne za okres 9 m-cy zakończonych 30.06.2022</t>
  </si>
  <si>
    <t>Segmenty operacyjne za okres 12 m-cy zakończonych 30.09.2022</t>
  </si>
  <si>
    <t>Pozostałe aktywa finansowe</t>
  </si>
  <si>
    <t>Sprawozdanie skonsolidowane</t>
  </si>
  <si>
    <t>Różnice kursowe z przeliczenia</t>
  </si>
  <si>
    <t>Segmenty operacyjne za okres 12 m-cy zakończonych 30.09.2023</t>
  </si>
  <si>
    <t>Segmenty operacyjne za okres 9 m-cy zakończonych 30.06.2023</t>
  </si>
  <si>
    <t>Segmenty operacyjne za okres 6 m-cy zakończonych 31.03.2023</t>
  </si>
  <si>
    <t>Segmenty operacyjne za okres 3 m-cy zakończonych 31.12.2022</t>
  </si>
  <si>
    <t>Dywidendy i udziały w zyskach</t>
  </si>
  <si>
    <t>Spłata udzielonych pożyczek</t>
  </si>
  <si>
    <t>Odsetki otrzymane</t>
  </si>
  <si>
    <t>Nabycie jednostki zależnej</t>
  </si>
  <si>
    <t>Inne wydatki na aktywa finansowe</t>
  </si>
  <si>
    <t>Aktywa dostępne do obrotu</t>
  </si>
  <si>
    <t>Segmenty operacyjne za okres 3 m-cy zakończonych 31.12.2023</t>
  </si>
  <si>
    <t>SEGMENTY OPERACYJNE 2023-24</t>
  </si>
  <si>
    <t>SEGMENTY OPERACYJNE 2022-23</t>
  </si>
  <si>
    <t>Segmenty operacyjne za okres 12 m-cy zakończonych 30.09.2024</t>
  </si>
  <si>
    <t>Segmenty operacyjne za okres 9 m-cy zakończonych 30.06.2024</t>
  </si>
  <si>
    <t>Segmenty operacyjne za okres 6 m-cy zakończonych 31.03.2024</t>
  </si>
  <si>
    <t>Przychody z tytułu odsetek</t>
  </si>
  <si>
    <t>Koszty z tytułu odsetek</t>
  </si>
  <si>
    <t>Segmenty operacyjne za okres 3 m-cy zakończonych 31.12.2024</t>
  </si>
  <si>
    <t>Segmenty operacyjne za okres 6 m-cy zakończonych 31.03.2025</t>
  </si>
  <si>
    <t>Segmenty operacyjne za okres 9 m-cy zakończonych 30.06.2025</t>
  </si>
  <si>
    <t>Segmenty operacyjne za okres 12 m-cy zakończonych 30.09.2025</t>
  </si>
  <si>
    <t>SEGMENTY OPERACYJNE 2024-25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</si>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</sst>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164" formatCode="_-* #,##0.00\ _z_ł_-;\-* #,##0.00\ _z_ł_-;_-* &quot;-&quot;??\ _z_ł_-;_-@_-"/>
    <numFmt numFmtId="165" formatCode="#,##0.00;\(#,##0.00\);\-"/>
    <numFmt numFmtId="166" formatCode="#,##0;\(#,##0\);\-"/>
    <numFmt numFmtId="167" formatCode="_(* #,##0.00_);_(* \(#,##0.00\);_(* &quot;-&quot;??_);_(@_)"/>
    <numFmt numFmtId="168" formatCode="_ * #,##0.00_ ;_ * \-#,##0.00_ ;_ * &quot;-&quot;??_ ;_ @_ "/>
    <numFmt numFmtId="169" formatCode="mm/dd/yy"/>
    <numFmt numFmtId="170" formatCode="dd\.mm\.yyyy;;"/>
    <numFmt numFmtId="171" formatCode="d\ mmm\ yyyy"/>
    <numFmt numFmtId="172" formatCode="_-* #,##0.00\ [$€-1]_-;\-* #,##0.00\ [$€-1]_-;_-* &quot;-&quot;??\ [$€-1]_-"/>
    <numFmt numFmtId="173" formatCode="0.0000"/>
    <numFmt numFmtId="174" formatCode="#,##0;\(#,##0\)"/>
    <numFmt numFmtId="175" formatCode="#,##0.0;\(#,##0.0\)"/>
    <numFmt numFmtId="176" formatCode="0.0\ &quot;x&quot;;\(0.0\)\ &quot;x&quot;"/>
    <numFmt numFmtId="177" formatCode="[&gt;-0.5]#,##0;[&lt;=-0.5]\(#,##0\);\-"/>
    <numFmt numFmtId="178" formatCode="#,##0.0;\(#,##0.0\);\ 0.0"/>
    <numFmt numFmtId="179" formatCode="0.0%;\(0.0%\)"/>
    <numFmt numFmtId="180" formatCode="#,##0.00;\(#,##0.00\)"/>
    <numFmt numFmtId="181" formatCode="0.0%"/>
    <numFmt numFmtId="182" formatCode="#,##0.00&quot;,     &quot;;\-#,##0.00&quot;,     &quot;;&quot; -&quot;#&quot;      &quot;;@\ "/>
    <numFmt numFmtId="183" formatCode="#,##0.00_);[Red]\(#,##0.00\)"/>
    <numFmt numFmtId="184" formatCode="#,##0.00&quot; zł &quot;;\-#,##0.00&quot; zł &quot;;&quot; -&quot;#&quot; zł &quot;;@\ "/>
    <numFmt numFmtId="185" formatCode="#,##0.0000;\(#,##0.0000\);\-"/>
    <numFmt numFmtId="186" formatCode="0.000000"/>
    <numFmt numFmtId="187" formatCode="#,##0.00000;\(#,##0.00000\);\-"/>
    <numFmt numFmtId="188" formatCode="#,##0.0000000;\(#,##0.0000000\);\-"/>
    <numFmt numFmtId="189" formatCode="#,##0.000;\(#,##0.000\);\-"/>
    <numFmt numFmtId="190" formatCode="#,##0.000000000000000;\(#,##0.000000000000000\);\-"/>
    <numFmt numFmtId="191" formatCode="#,##0.000000;\(#,##0.000000\);\-"/>
    <numFmt numFmtId="192" formatCode="#,##0.00000000000;\(#,##0.00000000000\);\-"/>
    <numFmt numFmtId="193" formatCode="#,##0.0000000000;\(#,##0.0000000000\);\-"/>
    <numFmt numFmtId="194" formatCode="#,##0.0000000000000000000;\(#,##0.0000000000000000000\);\-"/>
    <numFmt numFmtId="195" formatCode="#,##0.00000000000000;\(#,##0.00000000000000\);\-"/>
    <numFmt numFmtId="196" formatCode="#,##0.0000000000000;\(#,##0.0000000000000\);\-"/>
  </numFmts>
  <fonts count="72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7"/>
      <name val="Arial"/>
      <family val="2"/>
      <charset val="238"/>
    </font>
    <font>
      <sz val="7"/>
      <name val="Arial"/>
      <family val="2"/>
      <charset val="238"/>
    </font>
    <font>
      <sz val="7"/>
      <name val="Arial"/>
      <family val="2"/>
    </font>
    <font>
      <b/>
      <sz val="7"/>
      <color indexed="30"/>
      <name val="Arial"/>
      <family val="2"/>
      <charset val="238"/>
    </font>
    <font>
      <sz val="7"/>
      <color indexed="30"/>
      <name val="Arial"/>
      <family val="2"/>
      <charset val="238"/>
    </font>
    <font>
      <b/>
      <sz val="7"/>
      <name val="Arial"/>
      <family val="2"/>
    </font>
    <font>
      <b/>
      <sz val="7"/>
      <color indexed="8"/>
      <name val="Arial"/>
      <family val="2"/>
      <charset val="238"/>
    </font>
    <font>
      <sz val="7"/>
      <color indexed="8"/>
      <name val="Arial"/>
      <family val="2"/>
      <charset val="238"/>
    </font>
    <font>
      <sz val="10"/>
      <name val="Tahoma"/>
      <family val="2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i/>
      <sz val="10"/>
      <color indexed="8"/>
      <name val="Tahoma"/>
      <family val="2"/>
      <charset val="238"/>
    </font>
    <font>
      <sz val="10"/>
      <name val="Arial"/>
      <family val="2"/>
    </font>
    <font>
      <sz val="12"/>
      <color indexed="8"/>
      <name val="Times New Roman"/>
      <family val="2"/>
    </font>
    <font>
      <sz val="10"/>
      <name val="Times New Roman"/>
      <family val="1"/>
    </font>
    <font>
      <sz val="10"/>
      <name val="Times New Roman"/>
      <family val="1"/>
      <charset val="238"/>
    </font>
    <font>
      <sz val="10"/>
      <color indexed="22"/>
      <name val="Arial"/>
      <family val="2"/>
      <charset val="238"/>
    </font>
    <font>
      <sz val="10"/>
      <name val="Times New Roman CE"/>
    </font>
    <font>
      <sz val="10"/>
      <name val="Tahoma"/>
      <family val="2"/>
      <charset val="238"/>
    </font>
    <font>
      <i/>
      <sz val="10"/>
      <name val="Tahoma"/>
      <family val="2"/>
    </font>
    <font>
      <i/>
      <sz val="10"/>
      <name val="Tahoma"/>
      <family val="2"/>
      <charset val="238"/>
    </font>
    <font>
      <sz val="10"/>
      <name val="MS Sans Serif"/>
      <family val="2"/>
      <charset val="238"/>
    </font>
    <font>
      <sz val="12"/>
      <color indexed="8"/>
      <name val="Times New Roman"/>
      <family val="2"/>
      <charset val="238"/>
    </font>
    <font>
      <sz val="8"/>
      <name val="Arial"/>
      <family val="2"/>
    </font>
    <font>
      <b/>
      <sz val="12"/>
      <name val="Arial"/>
      <family val="2"/>
    </font>
    <font>
      <b/>
      <sz val="18"/>
      <color indexed="22"/>
      <name val="Arial"/>
      <family val="2"/>
      <charset val="238"/>
    </font>
    <font>
      <b/>
      <sz val="12"/>
      <color indexed="22"/>
      <name val="Arial"/>
      <family val="2"/>
      <charset val="238"/>
    </font>
    <font>
      <i/>
      <sz val="10"/>
      <color indexed="55"/>
      <name val="Tahoma"/>
      <family val="2"/>
      <charset val="238"/>
    </font>
    <font>
      <sz val="8"/>
      <name val="Tahoma"/>
      <family val="2"/>
      <charset val="238"/>
    </font>
    <font>
      <sz val="12"/>
      <color theme="1"/>
      <name val="Times New Roman"/>
      <family val="2"/>
      <charset val="238"/>
    </font>
    <font>
      <sz val="10"/>
      <name val="Arial CE"/>
      <charset val="238"/>
    </font>
    <font>
      <sz val="11"/>
      <color indexed="8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b/>
      <sz val="10"/>
      <name val="Tahoma"/>
      <family val="2"/>
      <charset val="238"/>
    </font>
    <font>
      <b/>
      <sz val="11"/>
      <name val="Tahoma"/>
      <family val="2"/>
      <charset val="238"/>
    </font>
    <font>
      <b/>
      <sz val="14"/>
      <color indexed="62"/>
      <name val="Tahoma"/>
      <family val="2"/>
      <charset val="238"/>
    </font>
    <font>
      <b/>
      <sz val="18"/>
      <color indexed="62"/>
      <name val="Tahoma"/>
      <family val="2"/>
      <charset val="238"/>
    </font>
    <font>
      <sz val="10"/>
      <name val="Courier"/>
      <family val="3"/>
    </font>
    <font>
      <b/>
      <sz val="10"/>
      <color indexed="9"/>
      <name val="Tahoma"/>
      <family val="2"/>
      <charset val="238"/>
    </font>
    <font>
      <i/>
      <sz val="7"/>
      <color indexed="8"/>
      <name val="Arial"/>
      <family val="2"/>
      <charset val="238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8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8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8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7"/>
      <color theme="0"/>
      <name val="Arial"/>
      <family val="2"/>
      <charset val="238"/>
    </font>
    <font>
      <b/>
      <sz val="8"/>
      <name val="Arial"/>
      <family val="2"/>
      <charset val="238"/>
    </font>
    <font>
      <b/>
      <sz val="9"/>
      <color rgb="FF002060"/>
      <name val="Arial"/>
      <family val="2"/>
      <charset val="238"/>
    </font>
    <font>
      <b/>
      <sz val="8"/>
      <color theme="0"/>
      <name val="Arial"/>
      <family val="2"/>
      <charset val="238"/>
    </font>
    <font>
      <b/>
      <sz val="8"/>
      <name val="Verdana"/>
      <family val="2"/>
      <charset val="238"/>
    </font>
    <font>
      <b/>
      <sz val="8"/>
      <color theme="0"/>
      <name val="Verdana"/>
      <family val="2"/>
      <charset val="238"/>
    </font>
    <font>
      <i/>
      <sz val="8"/>
      <name val="Calibri"/>
      <family val="2"/>
      <scheme val="minor"/>
    </font>
    <font>
      <i/>
      <sz val="7"/>
      <name val="Arial"/>
      <family val="2"/>
      <charset val="238"/>
    </font>
    <font>
      <i/>
      <sz val="8"/>
      <name val="Calibri"/>
      <family val="2"/>
      <charset val="238"/>
      <scheme val="minor"/>
    </font>
    <font>
      <b/>
      <sz val="10"/>
      <color rgb="FF002060"/>
      <name val="Calibri"/>
      <family val="2"/>
      <scheme val="minor"/>
    </font>
    <font>
      <b/>
      <sz val="10"/>
      <color rgb="FF002060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sz val="7"/>
      <name val="Calibri"/>
      <family val="2"/>
      <scheme val="minor"/>
    </font>
    <font>
      <sz val="8"/>
      <color rgb="FFFF0000"/>
      <name val="Calibri"/>
      <family val="2"/>
      <charset val="238"/>
      <scheme val="minor"/>
    </font>
    <font>
      <sz val="8"/>
      <color rgb="FFFF0000"/>
      <name val="Calibri"/>
      <family val="2"/>
      <scheme val="minor"/>
    </font>
    <font>
      <sz val="8"/>
      <name val="Calibri"/>
      <family val="2"/>
      <charset val="238"/>
      <scheme val="minor"/>
    </font>
    <font>
      <b/>
      <sz val="6.5"/>
      <color theme="0"/>
      <name val="Arial"/>
      <family val="2"/>
      <charset val="238"/>
    </font>
    <font>
      <sz val="7"/>
      <color rgb="FFFF0000"/>
      <name val="Arial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96">
    <xf numFmtId="0" fontId="0" fillId="0" borderId="0"/>
    <xf numFmtId="0" fontId="3" fillId="0" borderId="0"/>
    <xf numFmtId="4" fontId="12" fillId="0" borderId="0" applyFill="0" applyBorder="0" applyProtection="0">
      <alignment horizontal="right" vertical="center"/>
    </xf>
    <xf numFmtId="0" fontId="13" fillId="0" borderId="0" applyFill="0" applyBorder="0" applyProtection="0">
      <alignment vertical="center"/>
    </xf>
    <xf numFmtId="0" fontId="14" fillId="0" borderId="0" applyFill="0" applyBorder="0" applyProtection="0">
      <alignment vertical="center"/>
    </xf>
    <xf numFmtId="0" fontId="15" fillId="0" borderId="0" applyFill="0" applyBorder="0" applyProtection="0">
      <alignment vertical="center"/>
    </xf>
    <xf numFmtId="0" fontId="16" fillId="0" borderId="0" applyFill="0" applyBorder="0" applyProtection="0">
      <alignment vertical="center"/>
    </xf>
    <xf numFmtId="0" fontId="17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164" fontId="3" fillId="0" borderId="0" applyFont="0" applyFill="0" applyBorder="0" applyAlignment="0" applyProtection="0"/>
    <xf numFmtId="168" fontId="20" fillId="0" borderId="0" applyFont="0" applyFill="0" applyBorder="0" applyAlignment="0" applyProtection="0"/>
    <xf numFmtId="167" fontId="3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13" fillId="0" borderId="0" applyFill="0" applyBorder="0" applyAlignment="0" applyProtection="0">
      <alignment horizontal="right" vertical="center"/>
    </xf>
    <xf numFmtId="169" fontId="22" fillId="0" borderId="0" applyFont="0" applyFill="0" applyBorder="0" applyAlignment="0" applyProtection="0"/>
    <xf numFmtId="170" fontId="23" fillId="0" borderId="0" applyFont="0" applyFill="0" applyBorder="0" applyProtection="0">
      <alignment horizontal="right" vertical="center"/>
    </xf>
    <xf numFmtId="171" fontId="24" fillId="3" borderId="0" applyFont="0" applyFill="0" applyBorder="0" applyAlignment="0" applyProtection="0">
      <alignment horizontal="center" vertical="center" wrapText="1"/>
    </xf>
    <xf numFmtId="3" fontId="12" fillId="0" borderId="0" applyFill="0" applyBorder="0" applyAlignment="0" applyProtection="0">
      <alignment vertical="center"/>
    </xf>
    <xf numFmtId="0" fontId="12" fillId="4" borderId="0" applyNumberFormat="0" applyFont="0" applyBorder="0" applyAlignment="0" applyProtection="0"/>
    <xf numFmtId="0" fontId="25" fillId="0" borderId="0" applyNumberFormat="0" applyFill="0" applyBorder="0" applyProtection="0">
      <alignment vertical="center"/>
    </xf>
    <xf numFmtId="38" fontId="26" fillId="0" borderId="0" applyFont="0" applyFill="0" applyBorder="0" applyAlignment="0" applyProtection="0"/>
    <xf numFmtId="0" fontId="22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14" fillId="0" borderId="0" applyFont="0" applyFill="0" applyBorder="0" applyAlignment="0" applyProtection="0"/>
    <xf numFmtId="164" fontId="27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23" fillId="0" borderId="0" applyFill="0" applyBorder="0" applyProtection="0">
      <alignment vertical="center"/>
    </xf>
    <xf numFmtId="2" fontId="21" fillId="0" borderId="0" applyFont="0" applyFill="0" applyBorder="0" applyAlignment="0" applyProtection="0"/>
    <xf numFmtId="38" fontId="28" fillId="2" borderId="0" applyNumberFormat="0" applyBorder="0" applyAlignment="0" applyProtection="0"/>
    <xf numFmtId="0" fontId="29" fillId="0" borderId="3" applyNumberFormat="0" applyAlignment="0" applyProtection="0">
      <alignment horizontal="left" vertical="center"/>
    </xf>
    <xf numFmtId="0" fontId="29" fillId="0" borderId="1">
      <alignment horizontal="left" vertical="center"/>
    </xf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174" fontId="32" fillId="0" borderId="0" applyNumberFormat="0" applyFill="0" applyBorder="0" applyAlignment="0" applyProtection="0">
      <alignment vertical="center"/>
    </xf>
    <xf numFmtId="10" fontId="28" fillId="5" borderId="4" applyNumberFormat="0" applyBorder="0" applyAlignment="0" applyProtection="0"/>
    <xf numFmtId="0" fontId="23" fillId="4" borderId="4" applyNumberFormat="0" applyProtection="0">
      <alignment vertical="center"/>
    </xf>
    <xf numFmtId="0" fontId="23" fillId="4" borderId="4" applyNumberFormat="0" applyProtection="0">
      <alignment vertical="center"/>
    </xf>
    <xf numFmtId="0" fontId="33" fillId="6" borderId="0">
      <alignment vertical="center"/>
    </xf>
    <xf numFmtId="175" fontId="12" fillId="0" borderId="0" applyFont="0" applyFill="0" applyBorder="0" applyAlignment="0" applyProtection="0">
      <alignment horizontal="right"/>
    </xf>
    <xf numFmtId="176" fontId="23" fillId="0" borderId="0" applyFill="0" applyBorder="0" applyProtection="0">
      <alignment horizontal="right" vertical="center"/>
    </xf>
    <xf numFmtId="0" fontId="17" fillId="0" borderId="0"/>
    <xf numFmtId="0" fontId="34" fillId="0" borderId="0"/>
    <xf numFmtId="0" fontId="17" fillId="0" borderId="0"/>
    <xf numFmtId="0" fontId="17" fillId="0" borderId="0"/>
    <xf numFmtId="0" fontId="35" fillId="0" borderId="0"/>
    <xf numFmtId="0" fontId="36" fillId="0" borderId="0"/>
    <xf numFmtId="0" fontId="3" fillId="0" borderId="0"/>
    <xf numFmtId="0" fontId="37" fillId="0" borderId="0"/>
    <xf numFmtId="0" fontId="35" fillId="0" borderId="0"/>
    <xf numFmtId="0" fontId="17" fillId="0" borderId="0"/>
    <xf numFmtId="0" fontId="3" fillId="0" borderId="0"/>
    <xf numFmtId="0" fontId="34" fillId="0" borderId="0"/>
    <xf numFmtId="0" fontId="17" fillId="0" borderId="0"/>
    <xf numFmtId="0" fontId="37" fillId="0" borderId="0"/>
    <xf numFmtId="0" fontId="37" fillId="0" borderId="0"/>
    <xf numFmtId="0" fontId="3" fillId="0" borderId="0"/>
    <xf numFmtId="0" fontId="3" fillId="0" borderId="0"/>
    <xf numFmtId="0" fontId="23" fillId="0" borderId="0" applyBorder="0" applyProtection="0">
      <alignment horizontal="right" vertical="center"/>
    </xf>
    <xf numFmtId="177" fontId="38" fillId="0" borderId="1" applyFont="0" applyBorder="0" applyProtection="0">
      <alignment horizontal="right" vertical="center"/>
    </xf>
    <xf numFmtId="177" fontId="38" fillId="0" borderId="1" applyFont="0" applyBorder="0" applyProtection="0">
      <alignment horizontal="right" vertical="center"/>
    </xf>
    <xf numFmtId="170" fontId="13" fillId="0" borderId="0" applyFill="0" applyBorder="0" applyProtection="0">
      <alignment horizontal="right" vertical="center"/>
    </xf>
    <xf numFmtId="178" fontId="14" fillId="0" borderId="0" applyFill="0" applyBorder="0" applyProtection="0">
      <alignment horizontal="right" vertical="center"/>
    </xf>
    <xf numFmtId="0" fontId="39" fillId="0" borderId="0" applyNumberFormat="0" applyFill="0" applyBorder="0" applyProtection="0">
      <alignment horizontal="left" vertical="center"/>
    </xf>
    <xf numFmtId="10" fontId="3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" fillId="0" borderId="0" applyFont="0" applyFill="0" applyBorder="0" applyAlignment="0" applyProtection="0"/>
    <xf numFmtId="176" fontId="14" fillId="0" borderId="0" applyFill="0" applyBorder="0" applyAlignment="0" applyProtection="0">
      <alignment horizontal="right" vertical="center"/>
    </xf>
    <xf numFmtId="179" fontId="12" fillId="0" borderId="4" applyFill="0" applyBorder="0" applyAlignment="0" applyProtection="0">
      <alignment vertical="center"/>
    </xf>
    <xf numFmtId="0" fontId="40" fillId="0" borderId="0">
      <alignment vertical="center"/>
    </xf>
    <xf numFmtId="9" fontId="2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75" fontId="12" fillId="0" borderId="0" applyFill="0" applyBorder="0" applyProtection="0">
      <alignment horizontal="right" vertical="center"/>
    </xf>
    <xf numFmtId="0" fontId="41" fillId="0" borderId="0" applyNumberFormat="0" applyFill="0" applyBorder="0" applyProtection="0">
      <alignment horizontal="left" vertical="center"/>
    </xf>
    <xf numFmtId="0" fontId="42" fillId="0" borderId="0"/>
    <xf numFmtId="0" fontId="43" fillId="3" borderId="0" applyProtection="0">
      <alignment vertical="center" wrapText="1"/>
    </xf>
    <xf numFmtId="0" fontId="42" fillId="0" borderId="0" applyFont="0" applyAlignment="0">
      <alignment vertical="center"/>
    </xf>
    <xf numFmtId="0" fontId="21" fillId="0" borderId="5" applyNumberFormat="0" applyFont="0" applyFill="0" applyAlignment="0" applyProtection="0"/>
    <xf numFmtId="0" fontId="21" fillId="0" borderId="5" applyNumberFormat="0" applyFont="0" applyFill="0" applyAlignment="0" applyProtection="0"/>
    <xf numFmtId="0" fontId="23" fillId="0" borderId="0" applyNumberFormat="0" applyFill="0" applyBorder="0" applyProtection="0">
      <alignment horizontal="center" vertical="center"/>
    </xf>
    <xf numFmtId="0" fontId="3" fillId="0" borderId="0"/>
    <xf numFmtId="9" fontId="3" fillId="0" borderId="0" applyFont="0" applyFill="0" applyBorder="0" applyAlignment="0" applyProtection="0"/>
    <xf numFmtId="0" fontId="50" fillId="0" borderId="0"/>
    <xf numFmtId="0" fontId="3" fillId="0" borderId="0"/>
    <xf numFmtId="182" fontId="35" fillId="0" borderId="0" applyFill="0" applyAlignment="0" applyProtection="0"/>
    <xf numFmtId="183" fontId="26" fillId="0" borderId="0" applyFont="0" applyFill="0" applyBorder="0" applyAlignment="0" applyProtection="0"/>
    <xf numFmtId="0" fontId="2" fillId="0" borderId="0"/>
    <xf numFmtId="0" fontId="26" fillId="0" borderId="0"/>
    <xf numFmtId="184" fontId="35" fillId="0" borderId="0" applyFill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/>
  </cellStyleXfs>
  <cellXfs count="206">
    <xf numFmtId="0" fontId="0" fillId="0" borderId="0" xfId="0"/>
    <xf numFmtId="165" fontId="4" fillId="2" borderId="0" xfId="0" applyNumberFormat="1" applyFont="1" applyFill="1" applyAlignment="1">
      <alignment horizontal="center"/>
    </xf>
    <xf numFmtId="165" fontId="4" fillId="0" borderId="0" xfId="0" applyNumberFormat="1" applyFont="1" applyAlignment="1">
      <alignment horizontal="center"/>
    </xf>
    <xf numFmtId="165" fontId="5" fillId="2" borderId="0" xfId="0" applyNumberFormat="1" applyFont="1" applyFill="1" applyAlignment="1">
      <alignment horizontal="center"/>
    </xf>
    <xf numFmtId="165" fontId="5" fillId="0" borderId="0" xfId="0" applyNumberFormat="1" applyFont="1" applyAlignment="1">
      <alignment horizontal="center"/>
    </xf>
    <xf numFmtId="165" fontId="5" fillId="0" borderId="0" xfId="0" applyNumberFormat="1" applyFont="1"/>
    <xf numFmtId="0" fontId="4" fillId="0" borderId="0" xfId="0" applyFont="1" applyAlignment="1">
      <alignment horizontal="justify" wrapText="1"/>
    </xf>
    <xf numFmtId="165" fontId="6" fillId="0" borderId="0" xfId="0" applyNumberFormat="1" applyFont="1"/>
    <xf numFmtId="0" fontId="5" fillId="0" borderId="0" xfId="0" applyFont="1" applyAlignment="1">
      <alignment horizontal="justify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left" indent="1"/>
    </xf>
    <xf numFmtId="165" fontId="4" fillId="0" borderId="1" xfId="0" applyNumberFormat="1" applyFont="1" applyBorder="1"/>
    <xf numFmtId="0" fontId="7" fillId="0" borderId="0" xfId="0" applyFont="1" applyAlignment="1">
      <alignment horizontal="justify" wrapText="1"/>
    </xf>
    <xf numFmtId="165" fontId="8" fillId="0" borderId="0" xfId="0" applyNumberFormat="1" applyFont="1"/>
    <xf numFmtId="165" fontId="9" fillId="0" borderId="2" xfId="0" applyNumberFormat="1" applyFont="1" applyBorder="1"/>
    <xf numFmtId="166" fontId="5" fillId="0" borderId="0" xfId="0" applyNumberFormat="1" applyFont="1" applyAlignment="1">
      <alignment horizontal="right" wrapText="1"/>
    </xf>
    <xf numFmtId="0" fontId="5" fillId="0" borderId="0" xfId="0" applyFont="1"/>
    <xf numFmtId="0" fontId="6" fillId="0" borderId="0" xfId="0" applyFont="1"/>
    <xf numFmtId="165" fontId="5" fillId="0" borderId="0" xfId="0" applyNumberFormat="1" applyFont="1" applyAlignment="1">
      <alignment horizontal="right" wrapText="1"/>
    </xf>
    <xf numFmtId="0" fontId="4" fillId="0" borderId="0" xfId="0" applyFont="1"/>
    <xf numFmtId="165" fontId="5" fillId="0" borderId="1" xfId="0" applyNumberFormat="1" applyFont="1" applyBorder="1" applyAlignment="1">
      <alignment horizontal="right" wrapText="1"/>
    </xf>
    <xf numFmtId="165" fontId="4" fillId="0" borderId="1" xfId="0" applyNumberFormat="1" applyFont="1" applyBorder="1" applyAlignment="1">
      <alignment horizontal="right" wrapText="1"/>
    </xf>
    <xf numFmtId="165" fontId="4" fillId="0" borderId="0" xfId="0" applyNumberFormat="1" applyFont="1" applyAlignment="1">
      <alignment horizontal="righ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 wrapText="1" indent="1"/>
    </xf>
    <xf numFmtId="0" fontId="10" fillId="0" borderId="0" xfId="0" applyFont="1" applyAlignment="1">
      <alignment vertical="top" wrapText="1"/>
    </xf>
    <xf numFmtId="0" fontId="11" fillId="0" borderId="0" xfId="0" applyFont="1" applyAlignment="1">
      <alignment vertical="top" wrapText="1"/>
    </xf>
    <xf numFmtId="165" fontId="4" fillId="0" borderId="2" xfId="0" applyNumberFormat="1" applyFont="1" applyBorder="1" applyAlignment="1">
      <alignment horizontal="right" wrapText="1"/>
    </xf>
    <xf numFmtId="166" fontId="6" fillId="0" borderId="0" xfId="0" applyNumberFormat="1" applyFont="1"/>
    <xf numFmtId="165" fontId="5" fillId="0" borderId="0" xfId="0" applyNumberFormat="1" applyFont="1" applyAlignment="1">
      <alignment horizontal="right"/>
    </xf>
    <xf numFmtId="165" fontId="4" fillId="0" borderId="1" xfId="0" applyNumberFormat="1" applyFont="1" applyBorder="1" applyAlignment="1">
      <alignment horizontal="right"/>
    </xf>
    <xf numFmtId="165" fontId="5" fillId="0" borderId="1" xfId="0" applyNumberFormat="1" applyFont="1" applyBorder="1" applyAlignment="1">
      <alignment horizontal="right"/>
    </xf>
    <xf numFmtId="165" fontId="4" fillId="0" borderId="0" xfId="0" applyNumberFormat="1" applyFont="1" applyAlignment="1">
      <alignment horizontal="right"/>
    </xf>
    <xf numFmtId="0" fontId="44" fillId="0" borderId="0" xfId="0" applyFont="1" applyAlignment="1">
      <alignment vertical="top" wrapText="1"/>
    </xf>
    <xf numFmtId="165" fontId="5" fillId="0" borderId="2" xfId="0" applyNumberFormat="1" applyFont="1" applyBorder="1" applyAlignment="1">
      <alignment horizontal="right"/>
    </xf>
    <xf numFmtId="165" fontId="4" fillId="0" borderId="2" xfId="0" applyNumberFormat="1" applyFont="1" applyBorder="1" applyAlignment="1">
      <alignment horizontal="right"/>
    </xf>
    <xf numFmtId="165" fontId="4" fillId="0" borderId="0" xfId="0" applyNumberFormat="1" applyFont="1"/>
    <xf numFmtId="180" fontId="4" fillId="0" borderId="0" xfId="44" applyNumberFormat="1" applyFont="1" applyAlignment="1">
      <alignment horizontal="justify" vertical="center" wrapText="1"/>
    </xf>
    <xf numFmtId="37" fontId="45" fillId="0" borderId="0" xfId="59" applyNumberFormat="1" applyFont="1" applyAlignment="1">
      <alignment wrapText="1"/>
    </xf>
    <xf numFmtId="0" fontId="48" fillId="0" borderId="0" xfId="0" applyFont="1"/>
    <xf numFmtId="4" fontId="0" fillId="0" borderId="0" xfId="0" applyNumberFormat="1"/>
    <xf numFmtId="165" fontId="5" fillId="0" borderId="0" xfId="0" applyNumberFormat="1" applyFont="1" applyAlignment="1">
      <alignment horizontal="center" wrapText="1"/>
    </xf>
    <xf numFmtId="37" fontId="49" fillId="8" borderId="0" xfId="52" applyNumberFormat="1" applyFont="1" applyFill="1"/>
    <xf numFmtId="165" fontId="45" fillId="8" borderId="0" xfId="52" applyNumberFormat="1" applyFont="1" applyFill="1" applyAlignment="1">
      <alignment horizontal="right"/>
    </xf>
    <xf numFmtId="37" fontId="45" fillId="8" borderId="0" xfId="52" applyNumberFormat="1" applyFont="1" applyFill="1" applyAlignment="1">
      <alignment horizontal="right"/>
    </xf>
    <xf numFmtId="37" fontId="45" fillId="8" borderId="0" xfId="52" applyNumberFormat="1" applyFont="1" applyFill="1"/>
    <xf numFmtId="165" fontId="45" fillId="8" borderId="0" xfId="52" applyNumberFormat="1" applyFont="1" applyFill="1" applyAlignment="1">
      <alignment horizontal="right" wrapText="1"/>
    </xf>
    <xf numFmtId="165" fontId="45" fillId="8" borderId="0" xfId="52" applyNumberFormat="1" applyFont="1" applyFill="1" applyAlignment="1">
      <alignment horizontal="right" vertical="center" wrapText="1"/>
    </xf>
    <xf numFmtId="37" fontId="47" fillId="8" borderId="0" xfId="52" applyNumberFormat="1" applyFont="1" applyFill="1"/>
    <xf numFmtId="165" fontId="47" fillId="8" borderId="0" xfId="52" applyNumberFormat="1" applyFont="1" applyFill="1" applyAlignment="1">
      <alignment horizontal="right"/>
    </xf>
    <xf numFmtId="37" fontId="47" fillId="8" borderId="0" xfId="52" applyNumberFormat="1" applyFont="1" applyFill="1" applyAlignment="1">
      <alignment horizontal="right"/>
    </xf>
    <xf numFmtId="37" fontId="45" fillId="8" borderId="0" xfId="52" applyNumberFormat="1" applyFont="1" applyFill="1" applyAlignment="1">
      <alignment horizontal="left" indent="1"/>
    </xf>
    <xf numFmtId="37" fontId="45" fillId="8" borderId="0" xfId="52" applyNumberFormat="1" applyFont="1" applyFill="1" applyAlignment="1">
      <alignment horizontal="right" indent="1"/>
    </xf>
    <xf numFmtId="165" fontId="47" fillId="8" borderId="2" xfId="52" applyNumberFormat="1" applyFont="1" applyFill="1" applyBorder="1" applyAlignment="1">
      <alignment horizontal="right"/>
    </xf>
    <xf numFmtId="37" fontId="47" fillId="0" borderId="0" xfId="52" applyNumberFormat="1" applyFont="1" applyAlignment="1">
      <alignment horizontal="right"/>
    </xf>
    <xf numFmtId="165" fontId="45" fillId="8" borderId="0" xfId="52" quotePrefix="1" applyNumberFormat="1" applyFont="1" applyFill="1" applyAlignment="1">
      <alignment horizontal="right"/>
    </xf>
    <xf numFmtId="37" fontId="51" fillId="8" borderId="0" xfId="52" applyNumberFormat="1" applyFont="1" applyFill="1"/>
    <xf numFmtId="181" fontId="51" fillId="8" borderId="0" xfId="85" applyNumberFormat="1" applyFont="1" applyFill="1" applyAlignment="1">
      <alignment horizontal="right"/>
    </xf>
    <xf numFmtId="37" fontId="49" fillId="8" borderId="0" xfId="52" applyNumberFormat="1" applyFont="1" applyFill="1" applyAlignment="1">
      <alignment horizontal="right"/>
    </xf>
    <xf numFmtId="37" fontId="45" fillId="8" borderId="0" xfId="0" applyNumberFormat="1" applyFont="1" applyFill="1" applyAlignment="1">
      <alignment horizontal="left" wrapText="1" indent="1"/>
    </xf>
    <xf numFmtId="37" fontId="45" fillId="8" borderId="0" xfId="87" applyNumberFormat="1" applyFont="1" applyFill="1" applyAlignment="1">
      <alignment horizontal="left" wrapText="1" indent="1"/>
    </xf>
    <xf numFmtId="165" fontId="45" fillId="8" borderId="6" xfId="0" applyNumberFormat="1" applyFont="1" applyFill="1" applyBorder="1" applyAlignment="1">
      <alignment horizontal="right" wrapText="1"/>
    </xf>
    <xf numFmtId="37" fontId="45" fillId="8" borderId="0" xfId="53" applyNumberFormat="1" applyFont="1" applyFill="1" applyAlignment="1">
      <alignment horizontal="left" wrapText="1" indent="1"/>
    </xf>
    <xf numFmtId="165" fontId="45" fillId="8" borderId="0" xfId="52" applyNumberFormat="1" applyFont="1" applyFill="1"/>
    <xf numFmtId="181" fontId="45" fillId="8" borderId="0" xfId="94" applyNumberFormat="1" applyFont="1" applyFill="1" applyAlignment="1">
      <alignment horizontal="right"/>
    </xf>
    <xf numFmtId="37" fontId="47" fillId="8" borderId="0" xfId="52" applyNumberFormat="1" applyFont="1" applyFill="1" applyAlignment="1">
      <alignment wrapText="1"/>
    </xf>
    <xf numFmtId="37" fontId="45" fillId="8" borderId="0" xfId="52" applyNumberFormat="1" applyFont="1" applyFill="1" applyAlignment="1">
      <alignment wrapText="1"/>
    </xf>
    <xf numFmtId="37" fontId="45" fillId="8" borderId="0" xfId="95" applyNumberFormat="1" applyFont="1" applyFill="1" applyAlignment="1">
      <alignment horizontal="left" wrapText="1"/>
    </xf>
    <xf numFmtId="37" fontId="45" fillId="8" borderId="0" xfId="52" applyNumberFormat="1" applyFont="1" applyFill="1" applyAlignment="1">
      <alignment horizontal="left" wrapText="1"/>
    </xf>
    <xf numFmtId="37" fontId="47" fillId="8" borderId="0" xfId="52" applyNumberFormat="1" applyFont="1" applyFill="1" applyAlignment="1">
      <alignment horizontal="center"/>
    </xf>
    <xf numFmtId="37" fontId="49" fillId="8" borderId="0" xfId="52" applyNumberFormat="1" applyFont="1" applyFill="1" applyAlignment="1">
      <alignment wrapText="1"/>
    </xf>
    <xf numFmtId="165" fontId="54" fillId="9" borderId="0" xfId="0" applyNumberFormat="1" applyFont="1" applyFill="1" applyAlignment="1">
      <alignment horizontal="center"/>
    </xf>
    <xf numFmtId="165" fontId="4" fillId="10" borderId="0" xfId="0" applyNumberFormat="1" applyFont="1" applyFill="1" applyAlignment="1">
      <alignment horizontal="center"/>
    </xf>
    <xf numFmtId="165" fontId="5" fillId="10" borderId="0" xfId="0" applyNumberFormat="1" applyFont="1" applyFill="1" applyAlignment="1">
      <alignment horizontal="center"/>
    </xf>
    <xf numFmtId="165" fontId="5" fillId="10" borderId="0" xfId="0" applyNumberFormat="1" applyFont="1" applyFill="1"/>
    <xf numFmtId="0" fontId="11" fillId="10" borderId="0" xfId="0" applyFont="1" applyFill="1" applyAlignment="1">
      <alignment vertical="top" wrapText="1"/>
    </xf>
    <xf numFmtId="0" fontId="6" fillId="10" borderId="0" xfId="0" applyFont="1" applyFill="1"/>
    <xf numFmtId="0" fontId="4" fillId="10" borderId="0" xfId="0" applyFont="1" applyFill="1"/>
    <xf numFmtId="0" fontId="10" fillId="10" borderId="0" xfId="0" applyFont="1" applyFill="1" applyAlignment="1">
      <alignment vertical="top" wrapText="1"/>
    </xf>
    <xf numFmtId="0" fontId="44" fillId="10" borderId="0" xfId="0" applyFont="1" applyFill="1" applyAlignment="1">
      <alignment vertical="top" wrapText="1"/>
    </xf>
    <xf numFmtId="165" fontId="5" fillId="10" borderId="7" xfId="0" applyNumberFormat="1" applyFont="1" applyFill="1" applyBorder="1"/>
    <xf numFmtId="165" fontId="58" fillId="2" borderId="0" xfId="0" applyNumberFormat="1" applyFont="1" applyFill="1" applyAlignment="1">
      <alignment horizontal="center"/>
    </xf>
    <xf numFmtId="165" fontId="58" fillId="0" borderId="0" xfId="0" applyNumberFormat="1" applyFont="1" applyAlignment="1">
      <alignment horizontal="center"/>
    </xf>
    <xf numFmtId="165" fontId="59" fillId="9" borderId="0" xfId="0" applyNumberFormat="1" applyFont="1" applyFill="1" applyAlignment="1">
      <alignment horizontal="center"/>
    </xf>
    <xf numFmtId="165" fontId="58" fillId="10" borderId="0" xfId="0" applyNumberFormat="1" applyFont="1" applyFill="1" applyAlignment="1">
      <alignment horizontal="center"/>
    </xf>
    <xf numFmtId="165" fontId="61" fillId="0" borderId="0" xfId="0" applyNumberFormat="1" applyFont="1"/>
    <xf numFmtId="165" fontId="61" fillId="10" borderId="0" xfId="0" applyNumberFormat="1" applyFont="1" applyFill="1"/>
    <xf numFmtId="37" fontId="60" fillId="8" borderId="0" xfId="0" applyNumberFormat="1" applyFont="1" applyFill="1" applyAlignment="1">
      <alignment horizontal="right"/>
    </xf>
    <xf numFmtId="37" fontId="62" fillId="8" borderId="0" xfId="0" applyNumberFormat="1" applyFont="1" applyFill="1" applyAlignment="1">
      <alignment horizontal="right" wrapText="1"/>
    </xf>
    <xf numFmtId="165" fontId="55" fillId="2" borderId="0" xfId="0" applyNumberFormat="1" applyFont="1" applyFill="1" applyAlignment="1">
      <alignment horizontal="center" wrapText="1"/>
    </xf>
    <xf numFmtId="165" fontId="57" fillId="9" borderId="0" xfId="0" applyNumberFormat="1" applyFont="1" applyFill="1" applyAlignment="1">
      <alignment horizontal="center" wrapText="1"/>
    </xf>
    <xf numFmtId="165" fontId="55" fillId="7" borderId="0" xfId="0" applyNumberFormat="1" applyFont="1" applyFill="1" applyAlignment="1">
      <alignment horizontal="center" vertical="center" wrapText="1"/>
    </xf>
    <xf numFmtId="165" fontId="55" fillId="0" borderId="0" xfId="0" applyNumberFormat="1" applyFont="1" applyAlignment="1">
      <alignment horizontal="center" vertical="center" wrapText="1"/>
    </xf>
    <xf numFmtId="0" fontId="0" fillId="10" borderId="0" xfId="0" applyFill="1"/>
    <xf numFmtId="0" fontId="48" fillId="10" borderId="0" xfId="0" applyFont="1" applyFill="1"/>
    <xf numFmtId="37" fontId="46" fillId="0" borderId="0" xfId="59" applyNumberFormat="1" applyFont="1" applyAlignment="1">
      <alignment wrapText="1"/>
    </xf>
    <xf numFmtId="37" fontId="45" fillId="0" borderId="0" xfId="59" applyNumberFormat="1" applyFont="1" applyAlignment="1">
      <alignment horizontal="left" wrapText="1" indent="1"/>
    </xf>
    <xf numFmtId="37" fontId="45" fillId="0" borderId="0" xfId="52" applyNumberFormat="1" applyFont="1"/>
    <xf numFmtId="37" fontId="47" fillId="0" borderId="0" xfId="59" applyNumberFormat="1" applyFont="1" applyAlignment="1">
      <alignment wrapText="1"/>
    </xf>
    <xf numFmtId="37" fontId="45" fillId="0" borderId="0" xfId="52" applyNumberFormat="1" applyFont="1" applyAlignment="1">
      <alignment horizontal="left"/>
    </xf>
    <xf numFmtId="0" fontId="61" fillId="0" borderId="0" xfId="0" applyFont="1" applyAlignment="1">
      <alignment horizontal="justify" wrapText="1"/>
    </xf>
    <xf numFmtId="166" fontId="61" fillId="0" borderId="0" xfId="0" applyNumberFormat="1" applyFont="1"/>
    <xf numFmtId="0" fontId="61" fillId="0" borderId="0" xfId="0" applyFont="1" applyAlignment="1">
      <alignment horizontal="right" wrapText="1"/>
    </xf>
    <xf numFmtId="165" fontId="45" fillId="0" borderId="0" xfId="0" applyNumberFormat="1" applyFont="1" applyAlignment="1">
      <alignment horizontal="right" wrapText="1"/>
    </xf>
    <xf numFmtId="165" fontId="47" fillId="8" borderId="1" xfId="0" applyNumberFormat="1" applyFont="1" applyFill="1" applyBorder="1" applyAlignment="1">
      <alignment horizontal="right" wrapText="1"/>
    </xf>
    <xf numFmtId="37" fontId="47" fillId="8" borderId="0" xfId="0" applyNumberFormat="1" applyFont="1" applyFill="1" applyAlignment="1">
      <alignment horizontal="center" wrapText="1"/>
    </xf>
    <xf numFmtId="37" fontId="63" fillId="0" borderId="0" xfId="59" applyNumberFormat="1" applyFont="1" applyAlignment="1">
      <alignment wrapText="1"/>
    </xf>
    <xf numFmtId="37" fontId="45" fillId="10" borderId="0" xfId="52" applyNumberFormat="1" applyFont="1" applyFill="1"/>
    <xf numFmtId="37" fontId="45" fillId="10" borderId="0" xfId="52" applyNumberFormat="1" applyFont="1" applyFill="1" applyAlignment="1">
      <alignment horizontal="right"/>
    </xf>
    <xf numFmtId="165" fontId="45" fillId="10" borderId="0" xfId="52" applyNumberFormat="1" applyFont="1" applyFill="1" applyAlignment="1">
      <alignment horizontal="right"/>
    </xf>
    <xf numFmtId="37" fontId="65" fillId="8" borderId="0" xfId="52" applyNumberFormat="1" applyFont="1" applyFill="1"/>
    <xf numFmtId="37" fontId="65" fillId="8" borderId="0" xfId="52" applyNumberFormat="1" applyFont="1" applyFill="1" applyAlignment="1">
      <alignment vertical="top"/>
    </xf>
    <xf numFmtId="166" fontId="61" fillId="10" borderId="0" xfId="0" applyNumberFormat="1" applyFont="1" applyFill="1"/>
    <xf numFmtId="165" fontId="54" fillId="9" borderId="0" xfId="0" applyNumberFormat="1" applyFont="1" applyFill="1" applyAlignment="1">
      <alignment horizontal="center" wrapText="1"/>
    </xf>
    <xf numFmtId="173" fontId="0" fillId="0" borderId="0" xfId="0" applyNumberFormat="1"/>
    <xf numFmtId="186" fontId="0" fillId="0" borderId="0" xfId="0" applyNumberFormat="1"/>
    <xf numFmtId="185" fontId="5" fillId="0" borderId="0" xfId="0" applyNumberFormat="1" applyFont="1" applyAlignment="1">
      <alignment horizontal="right"/>
    </xf>
    <xf numFmtId="3" fontId="0" fillId="0" borderId="0" xfId="0" applyNumberFormat="1"/>
    <xf numFmtId="187" fontId="5" fillId="0" borderId="0" xfId="0" applyNumberFormat="1" applyFont="1" applyAlignment="1">
      <alignment horizontal="right"/>
    </xf>
    <xf numFmtId="2" fontId="0" fillId="0" borderId="0" xfId="0" applyNumberFormat="1"/>
    <xf numFmtId="188" fontId="5" fillId="0" borderId="0" xfId="0" applyNumberFormat="1" applyFont="1" applyAlignment="1">
      <alignment horizontal="right"/>
    </xf>
    <xf numFmtId="10" fontId="45" fillId="8" borderId="0" xfId="85" applyNumberFormat="1" applyFont="1" applyFill="1"/>
    <xf numFmtId="0" fontId="5" fillId="12" borderId="0" xfId="0" applyFont="1" applyFill="1" applyAlignment="1">
      <alignment horizontal="justify" wrapText="1"/>
    </xf>
    <xf numFmtId="37" fontId="66" fillId="0" borderId="0" xfId="52" applyNumberFormat="1" applyFont="1"/>
    <xf numFmtId="0" fontId="5" fillId="10" borderId="0" xfId="0" applyFont="1" applyFill="1"/>
    <xf numFmtId="4" fontId="5" fillId="0" borderId="0" xfId="0" applyNumberFormat="1" applyFont="1"/>
    <xf numFmtId="165" fontId="49" fillId="8" borderId="2" xfId="52" applyNumberFormat="1" applyFont="1" applyFill="1" applyBorder="1" applyAlignment="1">
      <alignment horizontal="right"/>
    </xf>
    <xf numFmtId="165" fontId="67" fillId="8" borderId="0" xfId="52" applyNumberFormat="1" applyFont="1" applyFill="1" applyAlignment="1">
      <alignment horizontal="right"/>
    </xf>
    <xf numFmtId="189" fontId="5" fillId="0" borderId="0" xfId="0" applyNumberFormat="1" applyFont="1" applyAlignment="1">
      <alignment horizontal="right"/>
    </xf>
    <xf numFmtId="165" fontId="45" fillId="11" borderId="0" xfId="52" applyNumberFormat="1" applyFont="1" applyFill="1" applyAlignment="1">
      <alignment horizontal="right" wrapText="1"/>
    </xf>
    <xf numFmtId="165" fontId="45" fillId="11" borderId="0" xfId="52" applyNumberFormat="1" applyFont="1" applyFill="1" applyAlignment="1">
      <alignment horizontal="right"/>
    </xf>
    <xf numFmtId="165" fontId="47" fillId="11" borderId="0" xfId="52" applyNumberFormat="1" applyFont="1" applyFill="1" applyAlignment="1">
      <alignment horizontal="right"/>
    </xf>
    <xf numFmtId="165" fontId="47" fillId="11" borderId="2" xfId="52" applyNumberFormat="1" applyFont="1" applyFill="1" applyBorder="1" applyAlignment="1">
      <alignment horizontal="right"/>
    </xf>
    <xf numFmtId="190" fontId="5" fillId="0" borderId="0" xfId="0" applyNumberFormat="1" applyFont="1"/>
    <xf numFmtId="191" fontId="5" fillId="0" borderId="0" xfId="0" applyNumberFormat="1" applyFont="1" applyAlignment="1">
      <alignment horizontal="right"/>
    </xf>
    <xf numFmtId="191" fontId="0" fillId="0" borderId="0" xfId="0" applyNumberFormat="1"/>
    <xf numFmtId="192" fontId="5" fillId="0" borderId="0" xfId="0" applyNumberFormat="1" applyFont="1" applyAlignment="1">
      <alignment horizontal="right"/>
    </xf>
    <xf numFmtId="188" fontId="5" fillId="0" borderId="0" xfId="0" applyNumberFormat="1" applyFont="1"/>
    <xf numFmtId="193" fontId="5" fillId="0" borderId="0" xfId="0" applyNumberFormat="1" applyFont="1" applyAlignment="1">
      <alignment horizontal="right"/>
    </xf>
    <xf numFmtId="4" fontId="6" fillId="0" borderId="0" xfId="0" applyNumberFormat="1" applyFont="1"/>
    <xf numFmtId="191" fontId="5" fillId="0" borderId="0" xfId="0" applyNumberFormat="1" applyFont="1"/>
    <xf numFmtId="165" fontId="56" fillId="2" borderId="0" xfId="0" applyNumberFormat="1" applyFont="1" applyFill="1" applyAlignment="1">
      <alignment horizontal="center" vertical="center" wrapText="1"/>
    </xf>
    <xf numFmtId="165" fontId="68" fillId="8" borderId="0" xfId="52" applyNumberFormat="1" applyFont="1" applyFill="1" applyAlignment="1">
      <alignment horizontal="right"/>
    </xf>
    <xf numFmtId="37" fontId="68" fillId="8" borderId="0" xfId="52" applyNumberFormat="1" applyFont="1" applyFill="1" applyAlignment="1">
      <alignment horizontal="right"/>
    </xf>
    <xf numFmtId="165" fontId="46" fillId="8" borderId="0" xfId="52" applyNumberFormat="1" applyFont="1" applyFill="1" applyAlignment="1">
      <alignment horizontal="right"/>
    </xf>
    <xf numFmtId="37" fontId="46" fillId="8" borderId="0" xfId="52" applyNumberFormat="1" applyFont="1" applyFill="1" applyAlignment="1">
      <alignment horizontal="right"/>
    </xf>
    <xf numFmtId="165" fontId="46" fillId="8" borderId="2" xfId="52" applyNumberFormat="1" applyFont="1" applyFill="1" applyBorder="1" applyAlignment="1">
      <alignment horizontal="right"/>
    </xf>
    <xf numFmtId="0" fontId="5" fillId="0" borderId="0" xfId="0" applyFont="1" applyAlignment="1">
      <alignment vertical="top" wrapText="1"/>
    </xf>
    <xf numFmtId="37" fontId="69" fillId="8" borderId="0" xfId="0" applyNumberFormat="1" applyFont="1" applyFill="1" applyAlignment="1">
      <alignment horizontal="left" wrapText="1" indent="1"/>
    </xf>
    <xf numFmtId="165" fontId="69" fillId="8" borderId="0" xfId="52" applyNumberFormat="1" applyFont="1" applyFill="1" applyAlignment="1">
      <alignment horizontal="right"/>
    </xf>
    <xf numFmtId="37" fontId="69" fillId="8" borderId="0" xfId="52" applyNumberFormat="1" applyFont="1" applyFill="1"/>
    <xf numFmtId="37" fontId="69" fillId="0" borderId="0" xfId="0" applyNumberFormat="1" applyFont="1" applyAlignment="1">
      <alignment horizontal="left" wrapText="1" indent="1"/>
    </xf>
    <xf numFmtId="37" fontId="45" fillId="0" borderId="0" xfId="0" applyNumberFormat="1" applyFont="1" applyAlignment="1">
      <alignment horizontal="left" wrapText="1" indent="1"/>
    </xf>
    <xf numFmtId="165" fontId="70" fillId="9" borderId="0" xfId="0" applyNumberFormat="1" applyFont="1" applyFill="1" applyAlignment="1">
      <alignment horizontal="center" wrapText="1"/>
    </xf>
    <xf numFmtId="165" fontId="5" fillId="2" borderId="0" xfId="0" applyNumberFormat="1" applyFont="1" applyFill="1" applyAlignment="1">
      <alignment horizontal="center" wrapText="1"/>
    </xf>
    <xf numFmtId="165" fontId="45" fillId="0" borderId="0" xfId="52" applyNumberFormat="1" applyFont="1" applyAlignment="1">
      <alignment horizontal="right" wrapText="1"/>
    </xf>
    <xf numFmtId="165" fontId="45" fillId="0" borderId="0" xfId="52" applyNumberFormat="1" applyFont="1" applyAlignment="1">
      <alignment horizontal="right"/>
    </xf>
    <xf numFmtId="165" fontId="47" fillId="0" borderId="0" xfId="52" applyNumberFormat="1" applyFont="1" applyAlignment="1">
      <alignment horizontal="right"/>
    </xf>
    <xf numFmtId="165" fontId="69" fillId="0" borderId="0" xfId="52" applyNumberFormat="1" applyFont="1" applyAlignment="1">
      <alignment horizontal="right"/>
    </xf>
    <xf numFmtId="165" fontId="47" fillId="0" borderId="2" xfId="52" applyNumberFormat="1" applyFont="1" applyBorder="1" applyAlignment="1">
      <alignment horizontal="right"/>
    </xf>
    <xf numFmtId="165" fontId="49" fillId="8" borderId="0" xfId="52" applyNumberFormat="1" applyFont="1" applyFill="1" applyAlignment="1">
      <alignment horizontal="right"/>
    </xf>
    <xf numFmtId="165" fontId="46" fillId="0" borderId="0" xfId="52" applyNumberFormat="1" applyFont="1" applyAlignment="1">
      <alignment horizontal="right"/>
    </xf>
    <xf numFmtId="165" fontId="46" fillId="0" borderId="2" xfId="52" applyNumberFormat="1" applyFont="1" applyBorder="1" applyAlignment="1">
      <alignment horizontal="right"/>
    </xf>
    <xf numFmtId="165" fontId="68" fillId="0" borderId="0" xfId="52" applyNumberFormat="1" applyFont="1" applyAlignment="1">
      <alignment horizontal="right"/>
    </xf>
    <xf numFmtId="165" fontId="45" fillId="13" borderId="0" xfId="52" applyNumberFormat="1" applyFont="1" applyFill="1" applyAlignment="1">
      <alignment horizontal="right"/>
    </xf>
    <xf numFmtId="165" fontId="45" fillId="13" borderId="0" xfId="52" applyNumberFormat="1" applyFont="1" applyFill="1" applyAlignment="1">
      <alignment horizontal="right" wrapText="1"/>
    </xf>
    <xf numFmtId="165" fontId="47" fillId="13" borderId="0" xfId="52" applyNumberFormat="1" applyFont="1" applyFill="1" applyAlignment="1">
      <alignment horizontal="right"/>
    </xf>
    <xf numFmtId="165" fontId="47" fillId="13" borderId="2" xfId="52" applyNumberFormat="1" applyFont="1" applyFill="1" applyBorder="1" applyAlignment="1">
      <alignment horizontal="right"/>
    </xf>
    <xf numFmtId="37" fontId="45" fillId="13" borderId="0" xfId="52" applyNumberFormat="1" applyFont="1" applyFill="1"/>
    <xf numFmtId="194" fontId="5" fillId="0" borderId="0" xfId="0" applyNumberFormat="1" applyFont="1" applyAlignment="1">
      <alignment horizontal="right"/>
    </xf>
    <xf numFmtId="37" fontId="64" fillId="8" borderId="0" xfId="52" applyNumberFormat="1" applyFont="1" applyFill="1" applyAlignment="1">
      <alignment horizontal="center"/>
    </xf>
    <xf numFmtId="37" fontId="47" fillId="0" borderId="0" xfId="0" applyNumberFormat="1" applyFont="1" applyAlignment="1">
      <alignment horizontal="center" wrapText="1"/>
    </xf>
    <xf numFmtId="195" fontId="5" fillId="0" borderId="0" xfId="0" applyNumberFormat="1" applyFont="1"/>
    <xf numFmtId="165" fontId="71" fillId="0" borderId="2" xfId="0" applyNumberFormat="1" applyFont="1" applyBorder="1" applyAlignment="1">
      <alignment horizontal="right"/>
    </xf>
    <xf numFmtId="165" fontId="71" fillId="0" borderId="0" xfId="0" applyNumberFormat="1" applyFont="1"/>
    <xf numFmtId="11" fontId="0" fillId="0" borderId="0" xfId="0" applyNumberFormat="1"/>
    <xf numFmtId="0" fontId="4" fillId="0" borderId="0" xfId="0" applyFont="1" applyAlignment="1">
      <alignment vertical="top" wrapText="1"/>
    </xf>
    <xf numFmtId="9" fontId="45" fillId="13" borderId="0" xfId="85" applyFont="1" applyFill="1"/>
    <xf numFmtId="165" fontId="58" fillId="9" borderId="0" xfId="0" applyNumberFormat="1" applyFont="1" applyFill="1" applyAlignment="1">
      <alignment horizontal="center"/>
    </xf>
    <xf numFmtId="165" fontId="55" fillId="9" borderId="0" xfId="0" applyNumberFormat="1" applyFont="1" applyFill="1" applyAlignment="1">
      <alignment horizontal="center" wrapText="1"/>
    </xf>
    <xf numFmtId="193" fontId="5" fillId="0" borderId="0" xfId="0" applyNumberFormat="1" applyFont="1"/>
    <xf numFmtId="165" fontId="5" fillId="0" borderId="8" xfId="0" applyNumberFormat="1" applyFont="1" applyBorder="1" applyAlignment="1">
      <alignment horizontal="right"/>
    </xf>
    <xf numFmtId="165" fontId="4" fillId="10" borderId="0" xfId="0" applyNumberFormat="1" applyFont="1" applyFill="1"/>
    <xf numFmtId="196" fontId="5" fillId="0" borderId="0" xfId="0" applyNumberFormat="1" applyFont="1"/>
    <xf numFmtId="192" fontId="5" fillId="0" borderId="0" xfId="0" applyNumberFormat="1" applyFont="1"/>
    <xf numFmtId="185" fontId="5" fillId="0" borderId="0" xfId="0" applyNumberFormat="1" applyFont="1"/>
    <xf numFmtId="14" fontId="54" fillId="9" borderId="0" xfId="0" applyNumberFormat="1" applyFont="1" applyFill="1" applyAlignment="1">
      <alignment horizontal="center"/>
    </xf>
    <xf numFmtId="14" fontId="4" fillId="0" borderId="0" xfId="0" applyNumberFormat="1" applyFont="1" applyAlignment="1">
      <alignment horizontal="center"/>
    </xf>
    <xf numFmtId="14" fontId="4" fillId="2" borderId="0" xfId="0" applyNumberFormat="1" applyFont="1" applyFill="1" applyAlignment="1">
      <alignment horizontal="center"/>
    </xf>
    <xf numFmtId="14" fontId="59" fillId="9" borderId="0" xfId="0" applyNumberFormat="1" applyFont="1" applyFill="1" applyAlignment="1">
      <alignment horizontal="center"/>
    </xf>
    <xf numFmtId="14" fontId="58" fillId="0" borderId="0" xfId="0" applyNumberFormat="1" applyFont="1" applyAlignment="1">
      <alignment horizontal="center"/>
    </xf>
    <xf numFmtId="14" fontId="58" fillId="2" borderId="0" xfId="0" applyNumberFormat="1" applyFont="1" applyFill="1" applyAlignment="1">
      <alignment horizontal="center"/>
    </xf>
    <xf numFmtId="165" fontId="47" fillId="0" borderId="1" xfId="0" applyNumberFormat="1" applyFont="1" applyBorder="1" applyAlignment="1">
      <alignment horizontal="right" wrapText="1"/>
    </xf>
    <xf numFmtId="37" fontId="45" fillId="13" borderId="0" xfId="52" applyNumberFormat="1" applyFont="1" applyFill="1" applyAlignment="1">
      <alignment horizontal="right"/>
    </xf>
    <xf numFmtId="37" fontId="45" fillId="13" borderId="0" xfId="52" applyNumberFormat="1" applyFont="1" applyFill="1" applyAlignment="1">
      <alignment horizontal="right" indent="1"/>
    </xf>
    <xf numFmtId="165" fontId="69" fillId="13" borderId="0" xfId="52" applyNumberFormat="1" applyFont="1" applyFill="1" applyAlignment="1">
      <alignment horizontal="right"/>
    </xf>
    <xf numFmtId="37" fontId="47" fillId="13" borderId="0" xfId="52" applyNumberFormat="1" applyFont="1" applyFill="1" applyAlignment="1">
      <alignment horizontal="right"/>
    </xf>
    <xf numFmtId="37" fontId="46" fillId="0" borderId="0" xfId="0" applyNumberFormat="1" applyFont="1" applyAlignment="1">
      <alignment horizontal="justify" wrapText="1"/>
    </xf>
    <xf numFmtId="37" fontId="45" fillId="0" borderId="0" xfId="0" applyNumberFormat="1" applyFont="1" applyAlignment="1">
      <alignment horizontal="left" wrapText="1"/>
    </xf>
    <xf numFmtId="37" fontId="46" fillId="0" borderId="0" xfId="0" applyNumberFormat="1" applyFont="1" applyAlignment="1">
      <alignment horizontal="left" wrapText="1"/>
    </xf>
    <xf numFmtId="37" fontId="45" fillId="0" borderId="0" xfId="0" applyNumberFormat="1" applyFont="1" applyAlignment="1">
      <alignment horizontal="justify" wrapText="1"/>
    </xf>
    <xf numFmtId="165" fontId="56" fillId="2" borderId="0" xfId="0" applyNumberFormat="1" applyFont="1" applyFill="1" applyAlignment="1">
      <alignment horizontal="center" vertical="center" wrapText="1"/>
    </xf>
    <xf numFmtId="37" fontId="47" fillId="8" borderId="6" xfId="52" applyNumberFormat="1" applyFont="1" applyFill="1" applyBorder="1" applyAlignment="1">
      <alignment horizontal="center"/>
    </xf>
    <xf numFmtId="165" fontId="56" fillId="11" borderId="0" xfId="0" applyNumberFormat="1" applyFont="1" applyFill="1" applyAlignment="1">
      <alignment horizontal="center" vertical="center" wrapText="1"/>
    </xf>
    <xf numFmtId="37" fontId="64" fillId="8" borderId="6" xfId="52" applyNumberFormat="1" applyFont="1" applyFill="1" applyBorder="1" applyAlignment="1">
      <alignment horizontal="center"/>
    </xf>
    <xf numFmtId="37" fontId="64" fillId="8" borderId="0" xfId="52" applyNumberFormat="1" applyFont="1" applyFill="1" applyAlignment="1">
      <alignment horizontal="center"/>
    </xf>
  </cellXfs>
  <cellStyles count="96">
    <cellStyle name="AFE" xfId="1" xr:uid="{00000000-0005-0000-0000-000000000000}"/>
    <cellStyle name="Beta" xfId="2" xr:uid="{00000000-0005-0000-0000-000001000000}"/>
    <cellStyle name="Column 1" xfId="3" xr:uid="{00000000-0005-0000-0000-000002000000}"/>
    <cellStyle name="Column 2" xfId="4" xr:uid="{00000000-0005-0000-0000-000003000000}"/>
    <cellStyle name="Column 3" xfId="5" xr:uid="{00000000-0005-0000-0000-000004000000}"/>
    <cellStyle name="Column 3 2" xfId="6" xr:uid="{00000000-0005-0000-0000-000005000000}"/>
    <cellStyle name="Comma 2" xfId="7" xr:uid="{00000000-0005-0000-0000-000006000000}"/>
    <cellStyle name="Comma 3" xfId="8" xr:uid="{00000000-0005-0000-0000-000007000000}"/>
    <cellStyle name="Comma 4" xfId="9" xr:uid="{00000000-0005-0000-0000-000008000000}"/>
    <cellStyle name="Comma 5" xfId="10" xr:uid="{00000000-0005-0000-0000-000009000000}"/>
    <cellStyle name="Comma 6" xfId="11" xr:uid="{00000000-0005-0000-0000-00000A000000}"/>
    <cellStyle name="Comma 7" xfId="12" xr:uid="{00000000-0005-0000-0000-00000B000000}"/>
    <cellStyle name="Comma0" xfId="13" xr:uid="{00000000-0005-0000-0000-00000C000000}"/>
    <cellStyle name="CommonB" xfId="14" xr:uid="{00000000-0005-0000-0000-00000D000000}"/>
    <cellStyle name="Currency0" xfId="15" xr:uid="{00000000-0005-0000-0000-00000E000000}"/>
    <cellStyle name="Date" xfId="16" xr:uid="{00000000-0005-0000-0000-00000F000000}"/>
    <cellStyle name="Date Table Header" xfId="17" xr:uid="{00000000-0005-0000-0000-000010000000}"/>
    <cellStyle name="Days ratio" xfId="18" xr:uid="{00000000-0005-0000-0000-000011000000}"/>
    <cellStyle name="deviant" xfId="19" xr:uid="{00000000-0005-0000-0000-000012000000}"/>
    <cellStyle name="Disclaimer" xfId="20" xr:uid="{00000000-0005-0000-0000-000013000000}"/>
    <cellStyle name="Dziesiêtny [0]_1" xfId="21" xr:uid="{00000000-0005-0000-0000-000014000000}"/>
    <cellStyle name="Dziesiêtny_1" xfId="22" xr:uid="{00000000-0005-0000-0000-000015000000}"/>
    <cellStyle name="Dziesiętny 2" xfId="23" xr:uid="{00000000-0005-0000-0000-000016000000}"/>
    <cellStyle name="Dziesiętny 2 2" xfId="88" xr:uid="{00000000-0005-0000-0000-000017000000}"/>
    <cellStyle name="Dziesiętny 3" xfId="24" xr:uid="{00000000-0005-0000-0000-000018000000}"/>
    <cellStyle name="Dziesiętny 3 2" xfId="89" xr:uid="{00000000-0005-0000-0000-000019000000}"/>
    <cellStyle name="Dziesiętny 4" xfId="25" xr:uid="{00000000-0005-0000-0000-00001A000000}"/>
    <cellStyle name="Euro" xfId="26" xr:uid="{00000000-0005-0000-0000-00001B000000}"/>
    <cellStyle name="Exchange rate" xfId="27" xr:uid="{00000000-0005-0000-0000-00001C000000}"/>
    <cellStyle name="Fixed" xfId="28" xr:uid="{00000000-0005-0000-0000-00001D000000}"/>
    <cellStyle name="Grey" xfId="29" xr:uid="{00000000-0005-0000-0000-00001E000000}"/>
    <cellStyle name="Header1" xfId="30" xr:uid="{00000000-0005-0000-0000-00001F000000}"/>
    <cellStyle name="Header2" xfId="31" xr:uid="{00000000-0005-0000-0000-000020000000}"/>
    <cellStyle name="Heading 1 2" xfId="32" xr:uid="{00000000-0005-0000-0000-000021000000}"/>
    <cellStyle name="Heading 1 3" xfId="33" xr:uid="{00000000-0005-0000-0000-000022000000}"/>
    <cellStyle name="Heading 2 2" xfId="34" xr:uid="{00000000-0005-0000-0000-000023000000}"/>
    <cellStyle name="Heading 2 3" xfId="35" xr:uid="{00000000-0005-0000-0000-000024000000}"/>
    <cellStyle name="Hidden" xfId="36" xr:uid="{00000000-0005-0000-0000-000025000000}"/>
    <cellStyle name="Input [yellow]" xfId="37" xr:uid="{00000000-0005-0000-0000-000026000000}"/>
    <cellStyle name="Input 2" xfId="38" xr:uid="{00000000-0005-0000-0000-000027000000}"/>
    <cellStyle name="Input 3" xfId="39" xr:uid="{00000000-0005-0000-0000-000028000000}"/>
    <cellStyle name="lang" xfId="40" xr:uid="{00000000-0005-0000-0000-000029000000}"/>
    <cellStyle name="MktRatio" xfId="41" xr:uid="{00000000-0005-0000-0000-00002A000000}"/>
    <cellStyle name="Multiple" xfId="42" xr:uid="{00000000-0005-0000-0000-00002B000000}"/>
    <cellStyle name="Normal 2" xfId="43" xr:uid="{00000000-0005-0000-0000-00002C000000}"/>
    <cellStyle name="Normal 2 2" xfId="44" xr:uid="{00000000-0005-0000-0000-00002D000000}"/>
    <cellStyle name="Normal 2 3" xfId="45" xr:uid="{00000000-0005-0000-0000-00002E000000}"/>
    <cellStyle name="Normal 3" xfId="46" xr:uid="{00000000-0005-0000-0000-00002F000000}"/>
    <cellStyle name="Normal 3 2" xfId="47" xr:uid="{00000000-0005-0000-0000-000030000000}"/>
    <cellStyle name="Normal 3 3" xfId="48" xr:uid="{00000000-0005-0000-0000-000031000000}"/>
    <cellStyle name="Normal 4" xfId="49" xr:uid="{00000000-0005-0000-0000-000032000000}"/>
    <cellStyle name="Normal 5" xfId="50" xr:uid="{00000000-0005-0000-0000-000033000000}"/>
    <cellStyle name="Normal 6" xfId="51" xr:uid="{00000000-0005-0000-0000-000034000000}"/>
    <cellStyle name="Normal_SHEET" xfId="52" xr:uid="{00000000-0005-0000-0000-000035000000}"/>
    <cellStyle name="Normalny" xfId="0" builtinId="0"/>
    <cellStyle name="Normalny 2" xfId="53" xr:uid="{00000000-0005-0000-0000-000037000000}"/>
    <cellStyle name="Normalny 2 2" xfId="90" xr:uid="{00000000-0005-0000-0000-000038000000}"/>
    <cellStyle name="Normalny 2 3" xfId="95" xr:uid="{00000000-0005-0000-0000-000039000000}"/>
    <cellStyle name="Normalny 3" xfId="54" xr:uid="{00000000-0005-0000-0000-00003A000000}"/>
    <cellStyle name="Normalny 3 2" xfId="91" xr:uid="{00000000-0005-0000-0000-00003B000000}"/>
    <cellStyle name="Normalny 4" xfId="55" xr:uid="{00000000-0005-0000-0000-00003C000000}"/>
    <cellStyle name="Normalny 5" xfId="56" xr:uid="{00000000-0005-0000-0000-00003D000000}"/>
    <cellStyle name="Normalny 5 2" xfId="57" xr:uid="{00000000-0005-0000-0000-00003E000000}"/>
    <cellStyle name="Normalny 6" xfId="58" xr:uid="{00000000-0005-0000-0000-00003F000000}"/>
    <cellStyle name="Normalny 7" xfId="59" xr:uid="{00000000-0005-0000-0000-000040000000}"/>
    <cellStyle name="Normalny 7 2" xfId="84" xr:uid="{00000000-0005-0000-0000-000041000000}"/>
    <cellStyle name="Normalny 8" xfId="86" xr:uid="{00000000-0005-0000-0000-000042000000}"/>
    <cellStyle name="Normalny 8 2" xfId="87" xr:uid="{00000000-0005-0000-0000-000043000000}"/>
    <cellStyle name="Normalny 9" xfId="93" xr:uid="{00000000-0005-0000-0000-000044000000}"/>
    <cellStyle name="Number" xfId="60" xr:uid="{00000000-0005-0000-0000-000045000000}"/>
    <cellStyle name="Number 2" xfId="61" xr:uid="{00000000-0005-0000-0000-000046000000}"/>
    <cellStyle name="Number 3" xfId="62" xr:uid="{00000000-0005-0000-0000-000047000000}"/>
    <cellStyle name="NumC1" xfId="63" xr:uid="{00000000-0005-0000-0000-000048000000}"/>
    <cellStyle name="NumC2" xfId="64" xr:uid="{00000000-0005-0000-0000-000049000000}"/>
    <cellStyle name="Page header" xfId="65" xr:uid="{00000000-0005-0000-0000-00004A000000}"/>
    <cellStyle name="Percent [2]" xfId="66" xr:uid="{00000000-0005-0000-0000-00004B000000}"/>
    <cellStyle name="Percent 2" xfId="67" xr:uid="{00000000-0005-0000-0000-00004C000000}"/>
    <cellStyle name="Percent 3" xfId="68" xr:uid="{00000000-0005-0000-0000-00004D000000}"/>
    <cellStyle name="Percent1" xfId="69" xr:uid="{00000000-0005-0000-0000-00004E000000}"/>
    <cellStyle name="Percentage" xfId="70" xr:uid="{00000000-0005-0000-0000-00004F000000}"/>
    <cellStyle name="Poufne/Confidential" xfId="71" xr:uid="{00000000-0005-0000-0000-000050000000}"/>
    <cellStyle name="Procentowy" xfId="85" builtinId="5"/>
    <cellStyle name="Procentowy 2" xfId="72" xr:uid="{00000000-0005-0000-0000-000052000000}"/>
    <cellStyle name="Procentowy 2 2" xfId="73" xr:uid="{00000000-0005-0000-0000-000053000000}"/>
    <cellStyle name="Procentowy 3" xfId="74" xr:uid="{00000000-0005-0000-0000-000054000000}"/>
    <cellStyle name="Procentowy 3 2" xfId="75" xr:uid="{00000000-0005-0000-0000-000055000000}"/>
    <cellStyle name="Procentowy 4" xfId="94" xr:uid="{00000000-0005-0000-0000-000056000000}"/>
    <cellStyle name="Ratio" xfId="76" xr:uid="{00000000-0005-0000-0000-000057000000}"/>
    <cellStyle name="Report" xfId="77" xr:uid="{00000000-0005-0000-0000-000058000000}"/>
    <cellStyle name="STYLE1 - Style1" xfId="78" xr:uid="{00000000-0005-0000-0000-000059000000}"/>
    <cellStyle name="Table header" xfId="79" xr:uid="{00000000-0005-0000-0000-00005A000000}"/>
    <cellStyle name="þ_x001d_ð7_x000c_îþ_x0007__x000d_áþV_x0001_k_x0010_y,_x0007__x0001__x0001_" xfId="80" xr:uid="{00000000-0005-0000-0000-00005B000000}"/>
    <cellStyle name="Total 2" xfId="81" xr:uid="{00000000-0005-0000-0000-00005C000000}"/>
    <cellStyle name="Total 3" xfId="82" xr:uid="{00000000-0005-0000-0000-00005D000000}"/>
    <cellStyle name="Unit" xfId="83" xr:uid="{00000000-0005-0000-0000-00005E000000}"/>
    <cellStyle name="Walutowy 2" xfId="92" xr:uid="{00000000-0005-0000-0000-00005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DC96"/>
  <sheetViews>
    <sheetView tabSelected="1" zoomScale="130" zoomScaleNormal="130"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B2"/>
    </sheetView>
  </sheetViews>
  <sheetFormatPr defaultColWidth="9.1796875" defaultRowHeight="9"/>
  <cols>
    <col min="1" max="1" width="0.81640625" style="5" customWidth="1"/>
    <col min="2" max="2" width="45.453125" style="5" customWidth="1"/>
    <col min="3" max="3" width="0.54296875" style="5" customWidth="1"/>
    <col min="4" max="4" width="11" style="5" customWidth="1"/>
    <col min="5" max="5" width="0.54296875" style="5" customWidth="1"/>
    <col min="6" max="6" width="11" style="5" customWidth="1"/>
    <col min="7" max="7" width="0.54296875" style="5" customWidth="1"/>
    <col min="8" max="8" width="11.26953125" style="5" customWidth="1"/>
    <col min="9" max="9" width="0.54296875" style="5" customWidth="1"/>
    <col min="10" max="10" width="13.26953125" style="5" customWidth="1"/>
    <col min="11" max="11" width="0.54296875" style="5" customWidth="1"/>
    <col min="12" max="12" width="11" style="5" customWidth="1"/>
    <col min="13" max="13" width="0.54296875" style="5" customWidth="1"/>
    <col min="14" max="14" width="11" style="5" customWidth="1"/>
    <col min="15" max="15" width="0.54296875" style="5" customWidth="1"/>
    <col min="16" max="16" width="11.26953125" style="5" customWidth="1"/>
    <col min="17" max="17" width="0.54296875" style="5" customWidth="1"/>
    <col min="18" max="18" width="13.26953125" style="5" customWidth="1"/>
    <col min="19" max="19" width="0.54296875" style="5" customWidth="1"/>
    <col min="20" max="20" width="11" style="5" customWidth="1"/>
    <col min="21" max="21" width="0.54296875" style="5" customWidth="1"/>
    <col min="22" max="22" width="11" style="5" customWidth="1"/>
    <col min="23" max="23" width="0.54296875" style="5" customWidth="1"/>
    <col min="24" max="24" width="11.26953125" style="5" customWidth="1"/>
    <col min="25" max="25" width="0.54296875" style="5" customWidth="1"/>
    <col min="26" max="26" width="11" style="5" customWidth="1"/>
    <col min="27" max="27" width="0.54296875" style="5" customWidth="1"/>
    <col min="28" max="28" width="11" style="5" customWidth="1"/>
    <col min="29" max="29" width="0.54296875" style="5" customWidth="1"/>
    <col min="30" max="30" width="11" style="5" customWidth="1"/>
    <col min="31" max="31" width="0.54296875" style="5" customWidth="1"/>
    <col min="32" max="32" width="11.26953125" style="5" customWidth="1"/>
    <col min="33" max="33" width="0.54296875" style="5" customWidth="1"/>
    <col min="34" max="34" width="11" style="5" customWidth="1"/>
    <col min="35" max="35" width="0.54296875" style="5" customWidth="1"/>
    <col min="36" max="36" width="11" style="5" customWidth="1"/>
    <col min="37" max="37" width="0.54296875" style="5" customWidth="1"/>
    <col min="38" max="38" width="11" style="5" customWidth="1"/>
    <col min="39" max="39" width="0.54296875" style="5" customWidth="1"/>
    <col min="40" max="40" width="11.26953125" style="5" customWidth="1"/>
    <col min="41" max="41" width="0.54296875" style="5" customWidth="1"/>
    <col min="42" max="42" width="11" style="5" customWidth="1"/>
    <col min="43" max="43" width="0.54296875" style="5" customWidth="1"/>
    <col min="44" max="44" width="11" style="5" customWidth="1"/>
    <col min="45" max="45" width="0.54296875" style="5" customWidth="1"/>
    <col min="46" max="46" width="11" style="5" customWidth="1"/>
    <col min="47" max="47" width="0.54296875" style="5" customWidth="1"/>
    <col min="48" max="48" width="11.26953125" style="5" customWidth="1"/>
    <col min="49" max="49" width="0.54296875" style="5" customWidth="1"/>
    <col min="50" max="50" width="11" style="5" customWidth="1"/>
    <col min="51" max="51" width="1" style="5" customWidth="1"/>
    <col min="52" max="52" width="11" style="5" customWidth="1"/>
    <col min="53" max="53" width="0.54296875" style="5" customWidth="1"/>
    <col min="54" max="54" width="11" style="5" customWidth="1"/>
    <col min="55" max="55" width="0.54296875" style="5" customWidth="1"/>
    <col min="56" max="56" width="11.26953125" style="5" customWidth="1"/>
    <col min="57" max="57" width="0.54296875" style="5" customWidth="1"/>
    <col min="58" max="58" width="11" style="5" customWidth="1"/>
    <col min="59" max="59" width="0.54296875" style="5" customWidth="1"/>
    <col min="60" max="60" width="11" style="5" customWidth="1"/>
    <col min="61" max="61" width="0.54296875" style="5" customWidth="1"/>
    <col min="62" max="62" width="11" style="5" customWidth="1"/>
    <col min="63" max="63" width="0.54296875" style="5" customWidth="1"/>
    <col min="64" max="64" width="11" style="5" customWidth="1"/>
    <col min="65" max="65" width="0.54296875" style="5" customWidth="1"/>
    <col min="66" max="66" width="11" style="5" customWidth="1"/>
    <col min="67" max="67" width="0.54296875" style="5" customWidth="1"/>
    <col min="68" max="68" width="11" style="5" customWidth="1"/>
    <col min="69" max="69" width="0.54296875" style="5" customWidth="1"/>
    <col min="70" max="70" width="11" style="5" customWidth="1"/>
    <col min="71" max="71" width="0.54296875" style="5" customWidth="1"/>
    <col min="72" max="72" width="11" style="5" customWidth="1"/>
    <col min="73" max="73" width="0.54296875" style="5" customWidth="1"/>
    <col min="74" max="74" width="11" style="5" customWidth="1"/>
    <col min="75" max="75" width="0.54296875" style="5" customWidth="1"/>
    <col min="76" max="76" width="11" style="5" customWidth="1"/>
    <col min="77" max="77" width="0.54296875" style="5" customWidth="1"/>
    <col min="78" max="78" width="11" style="5" customWidth="1"/>
    <col min="79" max="79" width="0.54296875" style="5" customWidth="1"/>
    <col min="80" max="80" width="11" style="5" customWidth="1"/>
    <col min="81" max="81" width="0.54296875" style="5" customWidth="1"/>
    <col min="82" max="82" width="11" style="5" customWidth="1"/>
    <col min="83" max="83" width="0.54296875" style="5" customWidth="1"/>
    <col min="84" max="84" width="11" style="5" customWidth="1"/>
    <col min="85" max="85" width="0.54296875" style="5" customWidth="1"/>
    <col min="86" max="86" width="11" style="5" customWidth="1"/>
    <col min="87" max="87" width="0.54296875" style="5" customWidth="1"/>
    <col min="88" max="88" width="11" style="5" customWidth="1"/>
    <col min="89" max="89" width="0.54296875" style="5" customWidth="1"/>
    <col min="90" max="90" width="11" style="5" customWidth="1"/>
    <col min="91" max="91" width="0.54296875" style="5" customWidth="1"/>
    <col min="92" max="92" width="11" style="5" customWidth="1"/>
    <col min="93" max="93" width="0.54296875" style="5" customWidth="1"/>
    <col min="94" max="94" width="12.26953125" style="5" customWidth="1"/>
    <col min="95" max="95" width="0.54296875" style="5" customWidth="1"/>
    <col min="96" max="96" width="12.26953125" style="5" customWidth="1"/>
    <col min="97" max="97" width="0.54296875" style="5" customWidth="1"/>
    <col min="98" max="98" width="12.26953125" style="5" customWidth="1"/>
    <col min="99" max="99" width="0.54296875" style="5" customWidth="1"/>
    <col min="100" max="100" width="12.26953125" style="5" customWidth="1"/>
    <col min="101" max="101" width="0.54296875" style="5" customWidth="1"/>
    <col min="102" max="102" width="12.26953125" style="5" customWidth="1"/>
    <col min="103" max="103" width="0.54296875" style="5" customWidth="1"/>
    <col min="104" max="104" width="12.26953125" style="5" customWidth="1"/>
    <col min="105" max="105" width="0.54296875" style="5" customWidth="1"/>
    <col min="106" max="106" width="12.26953125" style="5" customWidth="1"/>
    <col min="107" max="107" width="0.54296875" style="5" customWidth="1"/>
    <col min="108" max="16384" width="9.1796875" style="5"/>
  </cols>
  <sheetData>
    <row r="1" spans="1:107" s="2" customFormat="1" ht="11.5">
      <c r="A1" s="201" t="s">
        <v>191</v>
      </c>
      <c r="B1" s="201"/>
      <c r="D1" s="186">
        <v>45930</v>
      </c>
      <c r="E1" s="187"/>
      <c r="F1" s="188">
        <v>45838</v>
      </c>
      <c r="G1" s="187"/>
      <c r="H1" s="188">
        <v>45747</v>
      </c>
      <c r="I1" s="187"/>
      <c r="J1" s="188">
        <v>45657</v>
      </c>
      <c r="L1" s="186">
        <v>45565</v>
      </c>
      <c r="M1" s="187"/>
      <c r="N1" s="188">
        <v>45473</v>
      </c>
      <c r="O1" s="187"/>
      <c r="P1" s="188">
        <v>45382</v>
      </c>
      <c r="Q1" s="187"/>
      <c r="R1" s="188">
        <v>45291</v>
      </c>
      <c r="T1" s="186">
        <v>45199</v>
      </c>
      <c r="U1" s="187"/>
      <c r="V1" s="188">
        <v>45107</v>
      </c>
      <c r="W1" s="187"/>
      <c r="X1" s="188">
        <v>45016</v>
      </c>
      <c r="Y1" s="187"/>
      <c r="Z1" s="188">
        <v>44926</v>
      </c>
      <c r="AB1" s="186">
        <v>44834</v>
      </c>
      <c r="AC1" s="187"/>
      <c r="AD1" s="188">
        <v>44742</v>
      </c>
      <c r="AE1" s="187"/>
      <c r="AF1" s="188">
        <v>44651</v>
      </c>
      <c r="AG1" s="187"/>
      <c r="AH1" s="188">
        <v>44561</v>
      </c>
      <c r="AJ1" s="71" t="s">
        <v>279</v>
      </c>
      <c r="AL1" s="1" t="s">
        <v>280</v>
      </c>
      <c r="AN1" s="1" t="s">
        <v>281</v>
      </c>
      <c r="AP1" s="1" t="s">
        <v>282</v>
      </c>
      <c r="AR1" s="71" t="s">
        <v>272</v>
      </c>
      <c r="AT1" s="1" t="s">
        <v>271</v>
      </c>
      <c r="AV1" s="1" t="s">
        <v>270</v>
      </c>
      <c r="AX1" s="1" t="s">
        <v>269</v>
      </c>
      <c r="AY1" s="141"/>
      <c r="AZ1" s="71" t="s">
        <v>256</v>
      </c>
      <c r="BB1" s="1" t="s">
        <v>255</v>
      </c>
      <c r="BD1" s="1" t="s">
        <v>253</v>
      </c>
      <c r="BF1" s="1" t="s">
        <v>254</v>
      </c>
      <c r="BH1" s="71" t="s">
        <v>234</v>
      </c>
      <c r="BJ1" s="1" t="s">
        <v>235</v>
      </c>
      <c r="BL1" s="1" t="s">
        <v>236</v>
      </c>
      <c r="BN1" s="1" t="s">
        <v>233</v>
      </c>
      <c r="BP1" s="1" t="s">
        <v>232</v>
      </c>
      <c r="BR1" s="1" t="s">
        <v>231</v>
      </c>
      <c r="BT1" s="1" t="s">
        <v>230</v>
      </c>
      <c r="BV1" s="71" t="s">
        <v>217</v>
      </c>
      <c r="BX1" s="1" t="s">
        <v>218</v>
      </c>
      <c r="BZ1" s="1" t="s">
        <v>219</v>
      </c>
      <c r="CB1" s="1" t="s">
        <v>220</v>
      </c>
      <c r="CD1" s="71" t="s">
        <v>212</v>
      </c>
      <c r="CF1" s="1" t="s">
        <v>187</v>
      </c>
      <c r="CH1" s="1" t="s">
        <v>182</v>
      </c>
      <c r="CJ1" s="1" t="s">
        <v>163</v>
      </c>
      <c r="CL1" s="71" t="s">
        <v>162</v>
      </c>
      <c r="CN1" s="1" t="s">
        <v>0</v>
      </c>
      <c r="CP1" s="1" t="s">
        <v>1</v>
      </c>
      <c r="CR1" s="1" t="s">
        <v>2</v>
      </c>
      <c r="CT1" s="71" t="s">
        <v>3</v>
      </c>
      <c r="CV1" s="1" t="s">
        <v>4</v>
      </c>
      <c r="CX1" s="1" t="s">
        <v>5</v>
      </c>
      <c r="CZ1" s="71" t="s">
        <v>188</v>
      </c>
      <c r="DB1" s="71" t="s">
        <v>189</v>
      </c>
    </row>
    <row r="2" spans="1:107" s="4" customFormat="1" ht="31.5" customHeight="1">
      <c r="A2" s="201"/>
      <c r="B2" s="201"/>
      <c r="D2" s="71" t="s">
        <v>6</v>
      </c>
      <c r="F2" s="3" t="s">
        <v>6</v>
      </c>
      <c r="H2" s="3" t="s">
        <v>6</v>
      </c>
      <c r="J2" s="3" t="s">
        <v>6</v>
      </c>
      <c r="L2" s="71" t="s">
        <v>6</v>
      </c>
      <c r="N2" s="3" t="s">
        <v>6</v>
      </c>
      <c r="P2" s="3" t="s">
        <v>6</v>
      </c>
      <c r="R2" s="3" t="s">
        <v>6</v>
      </c>
      <c r="T2" s="71" t="s">
        <v>6</v>
      </c>
      <c r="V2" s="3" t="s">
        <v>6</v>
      </c>
      <c r="X2" s="3" t="s">
        <v>6</v>
      </c>
      <c r="Z2" s="3" t="s">
        <v>6</v>
      </c>
      <c r="AB2" s="71" t="s">
        <v>6</v>
      </c>
      <c r="AD2" s="3" t="s">
        <v>6</v>
      </c>
      <c r="AF2" s="3" t="s">
        <v>6</v>
      </c>
      <c r="AH2" s="3" t="s">
        <v>6</v>
      </c>
      <c r="AJ2" s="71" t="s">
        <v>6</v>
      </c>
      <c r="AL2" s="3" t="s">
        <v>6</v>
      </c>
      <c r="AN2" s="3" t="s">
        <v>6</v>
      </c>
      <c r="AP2" s="3" t="s">
        <v>6</v>
      </c>
      <c r="AR2" s="71" t="s">
        <v>6</v>
      </c>
      <c r="AT2" s="3" t="s">
        <v>6</v>
      </c>
      <c r="AV2" s="3" t="s">
        <v>6</v>
      </c>
      <c r="AX2" s="3" t="s">
        <v>6</v>
      </c>
      <c r="AY2" s="141"/>
      <c r="AZ2" s="71" t="s">
        <v>6</v>
      </c>
      <c r="BB2" s="3" t="s">
        <v>6</v>
      </c>
      <c r="BD2" s="3" t="s">
        <v>6</v>
      </c>
      <c r="BF2" s="3" t="s">
        <v>6</v>
      </c>
      <c r="BH2" s="153" t="s">
        <v>263</v>
      </c>
      <c r="BJ2" s="3" t="s">
        <v>6</v>
      </c>
      <c r="BL2" s="3" t="s">
        <v>6</v>
      </c>
      <c r="BN2" s="3" t="s">
        <v>6</v>
      </c>
      <c r="BP2" s="3" t="s">
        <v>6</v>
      </c>
      <c r="BR2" s="3" t="s">
        <v>6</v>
      </c>
      <c r="BT2" s="3" t="s">
        <v>6</v>
      </c>
      <c r="BV2" s="113" t="s">
        <v>247</v>
      </c>
      <c r="BX2" s="3" t="s">
        <v>6</v>
      </c>
      <c r="BZ2" s="3" t="s">
        <v>6</v>
      </c>
      <c r="CB2" s="3" t="s">
        <v>6</v>
      </c>
      <c r="CD2" s="71" t="s">
        <v>6</v>
      </c>
      <c r="CF2" s="3" t="s">
        <v>6</v>
      </c>
      <c r="CH2" s="3" t="s">
        <v>6</v>
      </c>
      <c r="CJ2" s="3" t="s">
        <v>6</v>
      </c>
      <c r="CL2" s="113" t="s">
        <v>247</v>
      </c>
      <c r="CN2" s="3" t="s">
        <v>6</v>
      </c>
      <c r="CP2" s="3" t="s">
        <v>6</v>
      </c>
      <c r="CR2" s="3" t="s">
        <v>6</v>
      </c>
      <c r="CT2" s="71" t="s">
        <v>6</v>
      </c>
      <c r="CV2" s="3" t="s">
        <v>6</v>
      </c>
      <c r="CX2" s="3" t="s">
        <v>6</v>
      </c>
      <c r="CZ2" s="71" t="s">
        <v>6</v>
      </c>
      <c r="DB2" s="71" t="s">
        <v>6</v>
      </c>
    </row>
    <row r="3" spans="1:107">
      <c r="B3" s="6" t="s">
        <v>7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</row>
    <row r="4" spans="1:107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</row>
    <row r="5" spans="1:107">
      <c r="B5" s="6" t="s">
        <v>8</v>
      </c>
      <c r="C5" s="6"/>
      <c r="D5" s="7"/>
      <c r="E5" s="6"/>
      <c r="F5" s="7"/>
      <c r="G5" s="6"/>
      <c r="H5" s="7"/>
      <c r="I5" s="6"/>
      <c r="J5" s="7"/>
      <c r="K5" s="6"/>
      <c r="L5" s="7"/>
      <c r="M5" s="6"/>
      <c r="N5" s="7"/>
      <c r="O5" s="6"/>
      <c r="P5" s="7"/>
      <c r="Q5" s="6"/>
      <c r="R5" s="7"/>
      <c r="S5" s="6"/>
      <c r="T5" s="7"/>
      <c r="U5" s="6"/>
      <c r="V5" s="7"/>
      <c r="W5" s="6"/>
      <c r="X5" s="7"/>
      <c r="Y5" s="6"/>
      <c r="Z5" s="7"/>
      <c r="AA5" s="6"/>
      <c r="AB5" s="7"/>
      <c r="AC5" s="6"/>
      <c r="AD5" s="7"/>
      <c r="AE5" s="6"/>
      <c r="AF5" s="7"/>
      <c r="AG5" s="6"/>
      <c r="AH5" s="7"/>
      <c r="AI5" s="6"/>
      <c r="AJ5" s="7"/>
      <c r="AK5" s="6"/>
      <c r="AL5" s="7"/>
      <c r="AM5" s="6"/>
      <c r="AN5" s="7"/>
      <c r="AO5" s="6"/>
      <c r="AP5" s="7"/>
      <c r="AQ5" s="7"/>
      <c r="AR5" s="7"/>
      <c r="AS5" s="6"/>
      <c r="AT5" s="7"/>
      <c r="AU5" s="6"/>
      <c r="AV5" s="7"/>
      <c r="AW5" s="6"/>
      <c r="AX5" s="7"/>
      <c r="AY5" s="6"/>
      <c r="AZ5" s="7"/>
      <c r="BA5" s="6"/>
      <c r="BB5" s="7"/>
      <c r="BC5" s="6"/>
      <c r="BD5" s="7"/>
      <c r="BE5" s="6"/>
      <c r="BF5" s="7"/>
      <c r="BG5" s="6"/>
      <c r="BH5" s="7"/>
      <c r="BI5" s="6"/>
      <c r="BJ5" s="7"/>
      <c r="BK5" s="6"/>
      <c r="BL5" s="7"/>
      <c r="BM5" s="6"/>
      <c r="BN5" s="7"/>
      <c r="BO5" s="6"/>
      <c r="BP5" s="7"/>
      <c r="BQ5" s="6"/>
      <c r="BR5" s="7"/>
      <c r="BS5" s="6"/>
      <c r="BT5" s="7"/>
      <c r="BU5" s="6"/>
      <c r="BV5" s="7"/>
      <c r="BW5" s="6"/>
      <c r="BX5" s="7"/>
      <c r="BY5" s="6"/>
      <c r="BZ5" s="7"/>
      <c r="CA5" s="6"/>
      <c r="CB5" s="7"/>
      <c r="CC5" s="6"/>
      <c r="CD5" s="7"/>
      <c r="CE5" s="6"/>
      <c r="CF5" s="7"/>
      <c r="CG5" s="6"/>
      <c r="CH5" s="7"/>
      <c r="CI5" s="6"/>
      <c r="CJ5" s="7"/>
      <c r="CK5" s="6"/>
      <c r="CL5" s="7"/>
      <c r="CM5" s="6"/>
      <c r="CN5" s="7"/>
      <c r="CO5" s="6"/>
      <c r="CP5" s="7"/>
      <c r="CQ5" s="6"/>
      <c r="CR5" s="7"/>
      <c r="CS5" s="6"/>
      <c r="CT5" s="7"/>
      <c r="CU5" s="6"/>
      <c r="CV5" s="7"/>
      <c r="CW5" s="6"/>
      <c r="CX5" s="7"/>
      <c r="CY5" s="6"/>
      <c r="CZ5" s="7"/>
      <c r="DA5" s="6"/>
      <c r="DB5" s="7"/>
      <c r="DC5" s="6"/>
    </row>
    <row r="6" spans="1:107" ht="11.25" customHeight="1">
      <c r="B6" s="8" t="s">
        <v>9</v>
      </c>
      <c r="C6" s="8"/>
      <c r="D6" s="7"/>
      <c r="E6" s="8"/>
      <c r="F6" s="7"/>
      <c r="G6" s="8"/>
      <c r="H6" s="7"/>
      <c r="I6" s="8"/>
      <c r="J6" s="7">
        <v>0</v>
      </c>
      <c r="K6" s="8"/>
      <c r="L6" s="7">
        <v>0</v>
      </c>
      <c r="M6" s="8"/>
      <c r="N6" s="7">
        <v>0</v>
      </c>
      <c r="O6" s="8"/>
      <c r="P6" s="7">
        <v>0</v>
      </c>
      <c r="Q6" s="8"/>
      <c r="R6" s="7">
        <v>0</v>
      </c>
      <c r="S6" s="8"/>
      <c r="T6" s="7">
        <v>0</v>
      </c>
      <c r="U6" s="8"/>
      <c r="V6" s="7">
        <v>0</v>
      </c>
      <c r="W6" s="8"/>
      <c r="X6" s="7">
        <v>0</v>
      </c>
      <c r="Y6" s="8"/>
      <c r="Z6" s="7">
        <v>0</v>
      </c>
      <c r="AA6" s="8"/>
      <c r="AB6" s="7">
        <v>0</v>
      </c>
      <c r="AC6" s="8"/>
      <c r="AD6" s="7">
        <v>0</v>
      </c>
      <c r="AE6" s="8"/>
      <c r="AF6" s="7">
        <v>0</v>
      </c>
      <c r="AG6" s="8"/>
      <c r="AH6" s="7">
        <v>0</v>
      </c>
      <c r="AI6" s="8"/>
      <c r="AJ6" s="7">
        <v>0</v>
      </c>
      <c r="AK6" s="8"/>
      <c r="AL6" s="7">
        <v>0</v>
      </c>
      <c r="AM6" s="8"/>
      <c r="AN6" s="7">
        <v>0</v>
      </c>
      <c r="AO6" s="8"/>
      <c r="AP6" s="7">
        <v>0</v>
      </c>
      <c r="AQ6" s="7"/>
      <c r="AR6" s="7">
        <v>0</v>
      </c>
      <c r="AS6" s="8"/>
      <c r="AT6" s="7">
        <v>0</v>
      </c>
      <c r="AU6" s="8"/>
      <c r="AV6" s="7">
        <v>0</v>
      </c>
      <c r="AW6" s="8"/>
      <c r="AX6" s="7">
        <v>0</v>
      </c>
      <c r="AY6" s="8"/>
      <c r="AZ6" s="7">
        <v>0</v>
      </c>
      <c r="BA6" s="8"/>
      <c r="BB6" s="7">
        <v>0</v>
      </c>
      <c r="BC6" s="8"/>
      <c r="BD6" s="7">
        <v>0</v>
      </c>
      <c r="BE6" s="8"/>
      <c r="BF6" s="7">
        <v>0</v>
      </c>
      <c r="BG6" s="8"/>
      <c r="BH6" s="7">
        <v>0</v>
      </c>
      <c r="BI6" s="8"/>
      <c r="BJ6" s="7">
        <v>0</v>
      </c>
      <c r="BK6" s="8"/>
      <c r="BL6" s="7">
        <v>0</v>
      </c>
      <c r="BM6" s="8"/>
      <c r="BN6" s="7">
        <v>0</v>
      </c>
      <c r="BO6" s="8"/>
      <c r="BP6" s="7">
        <v>0</v>
      </c>
      <c r="BQ6" s="8"/>
      <c r="BR6" s="7">
        <v>0</v>
      </c>
      <c r="BS6" s="8"/>
      <c r="BT6" s="7">
        <v>0</v>
      </c>
      <c r="BU6" s="8"/>
      <c r="BV6" s="7">
        <v>0</v>
      </c>
      <c r="BW6" s="8"/>
      <c r="BX6" s="7">
        <v>0</v>
      </c>
      <c r="BY6" s="8"/>
      <c r="BZ6" s="7">
        <v>0</v>
      </c>
      <c r="CA6" s="8"/>
      <c r="CB6" s="7">
        <v>0</v>
      </c>
      <c r="CC6" s="8"/>
      <c r="CD6" s="7">
        <v>0</v>
      </c>
      <c r="CE6" s="8"/>
      <c r="CF6" s="7">
        <v>0</v>
      </c>
      <c r="CG6" s="8"/>
      <c r="CH6" s="7">
        <v>0</v>
      </c>
      <c r="CI6" s="8"/>
      <c r="CJ6" s="7">
        <v>0</v>
      </c>
      <c r="CK6" s="8"/>
      <c r="CL6" s="7">
        <v>0</v>
      </c>
      <c r="CM6" s="8"/>
      <c r="CN6" s="7">
        <v>0</v>
      </c>
      <c r="CO6" s="8"/>
      <c r="CP6" s="7">
        <v>0</v>
      </c>
      <c r="CQ6" s="8"/>
      <c r="CR6" s="7">
        <v>0</v>
      </c>
      <c r="CS6" s="8"/>
      <c r="CT6" s="7">
        <v>0</v>
      </c>
      <c r="CU6" s="8"/>
      <c r="CV6" s="7">
        <v>0</v>
      </c>
      <c r="CW6" s="8"/>
      <c r="CX6" s="7">
        <v>0</v>
      </c>
      <c r="CY6" s="8"/>
      <c r="CZ6" s="7"/>
      <c r="DA6" s="8"/>
      <c r="DB6" s="7"/>
      <c r="DC6" s="8"/>
    </row>
    <row r="7" spans="1:107">
      <c r="B7" s="8" t="s">
        <v>10</v>
      </c>
      <c r="C7" s="8"/>
      <c r="D7" s="7"/>
      <c r="E7" s="8"/>
      <c r="F7" s="7"/>
      <c r="G7" s="8"/>
      <c r="H7" s="7"/>
      <c r="I7" s="8"/>
      <c r="J7" s="7">
        <v>40557114.903458074</v>
      </c>
      <c r="K7" s="8"/>
      <c r="L7" s="7">
        <v>42215154.646096565</v>
      </c>
      <c r="M7" s="8"/>
      <c r="N7" s="7">
        <v>44393900.091041267</v>
      </c>
      <c r="O7" s="8"/>
      <c r="P7" s="7">
        <v>45642416.482798174</v>
      </c>
      <c r="Q7" s="8"/>
      <c r="R7" s="7">
        <v>47553444.1021479</v>
      </c>
      <c r="S7" s="8"/>
      <c r="T7" s="7">
        <v>50345335.51152572</v>
      </c>
      <c r="U7" s="8"/>
      <c r="V7" s="7">
        <v>51696081.205328815</v>
      </c>
      <c r="W7" s="8"/>
      <c r="X7" s="7">
        <v>54080230.687789068</v>
      </c>
      <c r="Y7" s="8"/>
      <c r="Z7" s="7">
        <v>55332539.430835105</v>
      </c>
      <c r="AA7" s="8"/>
      <c r="AB7" s="7">
        <v>56632459.797767989</v>
      </c>
      <c r="AC7" s="8"/>
      <c r="AD7" s="7">
        <v>56111670.597211935</v>
      </c>
      <c r="AE7" s="8"/>
      <c r="AF7" s="7">
        <v>56813051.294230483</v>
      </c>
      <c r="AG7" s="8"/>
      <c r="AH7" s="7">
        <v>28717221.870916665</v>
      </c>
      <c r="AI7" s="8"/>
      <c r="AJ7" s="7">
        <v>28569090.342166666</v>
      </c>
      <c r="AK7" s="8"/>
      <c r="AL7" s="7">
        <v>28196270.337166667</v>
      </c>
      <c r="AM7" s="8"/>
      <c r="AN7" s="7">
        <v>27950070.782166664</v>
      </c>
      <c r="AO7" s="8"/>
      <c r="AP7" s="7">
        <v>27728074.507166661</v>
      </c>
      <c r="AQ7" s="7"/>
      <c r="AR7" s="7">
        <v>27578959.182166666</v>
      </c>
      <c r="AS7" s="8"/>
      <c r="AT7" s="7">
        <v>27273651.247166663</v>
      </c>
      <c r="AU7" s="8"/>
      <c r="AV7" s="7">
        <v>26851286.342166666</v>
      </c>
      <c r="AW7" s="8"/>
      <c r="AX7" s="7">
        <v>26147079.507166669</v>
      </c>
      <c r="AY7" s="8"/>
      <c r="AZ7" s="7">
        <v>25463849.662166666</v>
      </c>
      <c r="BA7" s="8"/>
      <c r="BB7" s="7">
        <v>25082257.72716666</v>
      </c>
      <c r="BC7" s="8"/>
      <c r="BD7" s="7">
        <v>24653906.822166663</v>
      </c>
      <c r="BE7" s="8"/>
      <c r="BF7" s="7">
        <v>23526057.137166668</v>
      </c>
      <c r="BG7" s="8"/>
      <c r="BH7" s="7">
        <v>23597679.064051658</v>
      </c>
      <c r="BI7" s="8"/>
      <c r="BJ7" s="7">
        <v>44119503.624708332</v>
      </c>
      <c r="BK7" s="8"/>
      <c r="BL7" s="7">
        <v>42070809.922833338</v>
      </c>
      <c r="BM7" s="8"/>
      <c r="BN7" s="7">
        <v>36661030.590208337</v>
      </c>
      <c r="BO7" s="8"/>
      <c r="BP7" s="7">
        <v>34568454.076083325</v>
      </c>
      <c r="BQ7" s="8"/>
      <c r="BR7" s="7">
        <v>32327660.809999999</v>
      </c>
      <c r="BS7" s="8"/>
      <c r="BT7" s="7">
        <v>31383409.619999997</v>
      </c>
      <c r="BU7" s="8"/>
      <c r="BV7" s="7">
        <v>28691677.079999998</v>
      </c>
      <c r="BW7" s="8"/>
      <c r="BX7" s="7">
        <v>26269625.759999998</v>
      </c>
      <c r="BY7" s="8"/>
      <c r="BZ7" s="7">
        <v>25411632.549999997</v>
      </c>
      <c r="CA7" s="8"/>
      <c r="CB7" s="7">
        <v>24021490.190000001</v>
      </c>
      <c r="CC7" s="8"/>
      <c r="CD7" s="7">
        <v>21423663.82</v>
      </c>
      <c r="CE7" s="8"/>
      <c r="CF7" s="7">
        <v>18941607.710000001</v>
      </c>
      <c r="CG7" s="8"/>
      <c r="CH7" s="7">
        <v>16733778.789999999</v>
      </c>
      <c r="CI7" s="8"/>
      <c r="CJ7" s="7">
        <v>14265667.050000001</v>
      </c>
      <c r="CK7" s="8"/>
      <c r="CL7" s="7">
        <v>10977408.140000001</v>
      </c>
      <c r="CM7" s="8"/>
      <c r="CN7" s="7">
        <v>6530400.4899999993</v>
      </c>
      <c r="CO7" s="8"/>
      <c r="CP7" s="7">
        <v>5059668.3999999994</v>
      </c>
      <c r="CQ7" s="8"/>
      <c r="CR7" s="7">
        <v>4256026.9000000004</v>
      </c>
      <c r="CS7" s="8"/>
      <c r="CT7" s="7">
        <v>3087768.6300000004</v>
      </c>
      <c r="CU7" s="8"/>
      <c r="CV7" s="7">
        <v>3006297.72</v>
      </c>
      <c r="CW7" s="8"/>
      <c r="CX7" s="7">
        <v>3056400.1700000004</v>
      </c>
      <c r="CY7" s="8"/>
      <c r="CZ7" s="7">
        <v>3027245.07</v>
      </c>
      <c r="DA7" s="8"/>
      <c r="DB7" s="7">
        <v>2550903.75</v>
      </c>
      <c r="DC7" s="8"/>
    </row>
    <row r="8" spans="1:107">
      <c r="B8" s="8" t="s">
        <v>11</v>
      </c>
      <c r="C8" s="8"/>
      <c r="D8" s="7"/>
      <c r="E8" s="8"/>
      <c r="F8" s="7"/>
      <c r="G8" s="8"/>
      <c r="H8" s="7"/>
      <c r="I8" s="8"/>
      <c r="J8" s="7">
        <v>65084279.504000008</v>
      </c>
      <c r="K8" s="8"/>
      <c r="L8" s="7">
        <v>59517825.655000001</v>
      </c>
      <c r="M8" s="8"/>
      <c r="N8" s="7">
        <v>50468230.746451996</v>
      </c>
      <c r="O8" s="8"/>
      <c r="P8" s="7">
        <v>47133478.424999997</v>
      </c>
      <c r="Q8" s="8"/>
      <c r="R8" s="7">
        <v>45809286.689799987</v>
      </c>
      <c r="S8" s="8"/>
      <c r="T8" s="7">
        <v>37662691.718899988</v>
      </c>
      <c r="U8" s="8"/>
      <c r="V8" s="7">
        <v>38539582.284999996</v>
      </c>
      <c r="W8" s="8"/>
      <c r="X8" s="7">
        <v>39514493.450100005</v>
      </c>
      <c r="Y8" s="8"/>
      <c r="Z8" s="7">
        <v>34961120.639999986</v>
      </c>
      <c r="AA8" s="8"/>
      <c r="AB8" s="7">
        <v>35126703.509999998</v>
      </c>
      <c r="AC8" s="8"/>
      <c r="AD8" s="7">
        <v>39401946.019999981</v>
      </c>
      <c r="AE8" s="8"/>
      <c r="AF8" s="7">
        <v>40084383.73999998</v>
      </c>
      <c r="AG8" s="8"/>
      <c r="AH8" s="7">
        <v>40405750.5</v>
      </c>
      <c r="AI8" s="8"/>
      <c r="AJ8" s="7">
        <v>45562376.329999998</v>
      </c>
      <c r="AK8" s="8"/>
      <c r="AL8" s="7">
        <v>41494480.859999999</v>
      </c>
      <c r="AM8" s="8"/>
      <c r="AN8" s="7">
        <v>42253495.469999991</v>
      </c>
      <c r="AO8" s="8"/>
      <c r="AP8" s="7">
        <v>43007837.61999999</v>
      </c>
      <c r="AQ8" s="7"/>
      <c r="AR8" s="7">
        <v>43728083.499999993</v>
      </c>
      <c r="AS8" s="8"/>
      <c r="AT8" s="7">
        <v>43983610.299999997</v>
      </c>
      <c r="AU8" s="8"/>
      <c r="AV8" s="7">
        <v>44632320.200748265</v>
      </c>
      <c r="AW8" s="8"/>
      <c r="AX8" s="7">
        <v>45106887.338179976</v>
      </c>
      <c r="AY8" s="8"/>
      <c r="AZ8" s="7">
        <v>47088894.549999997</v>
      </c>
      <c r="BA8" s="8"/>
      <c r="BB8" s="7">
        <v>47850701.350000001</v>
      </c>
      <c r="BC8" s="8"/>
      <c r="BD8" s="7">
        <v>47120349.509999998</v>
      </c>
      <c r="BE8" s="8"/>
      <c r="BF8" s="7">
        <v>47844423.510000005</v>
      </c>
      <c r="BG8" s="8"/>
      <c r="BH8" s="7">
        <v>48551213.310000002</v>
      </c>
      <c r="BI8" s="8"/>
      <c r="BJ8" s="7">
        <v>49429828.419999994</v>
      </c>
      <c r="BK8" s="8"/>
      <c r="BL8" s="7">
        <v>50416496</v>
      </c>
      <c r="BM8" s="8"/>
      <c r="BN8" s="7">
        <v>33056384.190000001</v>
      </c>
      <c r="BO8" s="8"/>
      <c r="BP8" s="7">
        <v>33818210.269999996</v>
      </c>
      <c r="BQ8" s="8"/>
      <c r="BR8" s="7">
        <v>34439644.240000002</v>
      </c>
      <c r="BS8" s="8"/>
      <c r="BT8" s="7">
        <v>34599087.500000007</v>
      </c>
      <c r="BU8" s="8"/>
      <c r="BV8" s="7">
        <v>35017947.88000001</v>
      </c>
      <c r="BW8" s="8"/>
      <c r="BX8" s="7">
        <v>36008255.149999999</v>
      </c>
      <c r="BY8" s="8"/>
      <c r="BZ8" s="7">
        <v>36388909.460000001</v>
      </c>
      <c r="CA8" s="8"/>
      <c r="CB8" s="7">
        <v>36949090.200000003</v>
      </c>
      <c r="CC8" s="8"/>
      <c r="CD8" s="7">
        <v>37623712.960000001</v>
      </c>
      <c r="CE8" s="8"/>
      <c r="CF8" s="7">
        <v>38621265.920000002</v>
      </c>
      <c r="CG8" s="8"/>
      <c r="CH8" s="7">
        <v>40233362.810000002</v>
      </c>
      <c r="CI8" s="8"/>
      <c r="CJ8" s="7">
        <v>40884039.290000007</v>
      </c>
      <c r="CK8" s="8"/>
      <c r="CL8" s="7">
        <v>41953460.009999998</v>
      </c>
      <c r="CM8" s="8"/>
      <c r="CN8" s="7">
        <v>43026734.39461562</v>
      </c>
      <c r="CO8" s="8"/>
      <c r="CP8" s="7">
        <v>43722494.588148728</v>
      </c>
      <c r="CQ8" s="8"/>
      <c r="CR8" s="7">
        <v>44315120.451681823</v>
      </c>
      <c r="CS8" s="8"/>
      <c r="CT8" s="7">
        <v>39393908.685214922</v>
      </c>
      <c r="CU8" s="8"/>
      <c r="CV8" s="7">
        <v>34721475.738748029</v>
      </c>
      <c r="CW8" s="8"/>
      <c r="CX8" s="7">
        <v>23472886.652281135</v>
      </c>
      <c r="CY8" s="8"/>
      <c r="CZ8" s="7">
        <v>18224974.119999997</v>
      </c>
      <c r="DA8" s="8"/>
      <c r="DB8" s="7">
        <v>19185102.52</v>
      </c>
      <c r="DC8" s="8"/>
    </row>
    <row r="9" spans="1:107">
      <c r="B9" s="8" t="s">
        <v>278</v>
      </c>
      <c r="C9" s="8"/>
      <c r="D9" s="7"/>
      <c r="E9" s="8"/>
      <c r="F9" s="7"/>
      <c r="G9" s="8"/>
      <c r="H9" s="7"/>
      <c r="I9" s="8"/>
      <c r="J9" s="7">
        <v>24270682.842570085</v>
      </c>
      <c r="K9" s="8"/>
      <c r="L9" s="7">
        <v>28488666.429733511</v>
      </c>
      <c r="M9" s="8"/>
      <c r="N9" s="7">
        <v>21444749.920988254</v>
      </c>
      <c r="O9" s="8"/>
      <c r="P9" s="7">
        <v>22248172.11979704</v>
      </c>
      <c r="Q9" s="8"/>
      <c r="R9" s="7">
        <v>19104299.456637658</v>
      </c>
      <c r="S9" s="8"/>
      <c r="T9" s="7">
        <v>22645124.234374743</v>
      </c>
      <c r="U9" s="8"/>
      <c r="V9" s="7">
        <v>21965121.870845649</v>
      </c>
      <c r="W9" s="8"/>
      <c r="X9" s="7">
        <v>15601354.925080441</v>
      </c>
      <c r="Y9" s="8"/>
      <c r="Z9" s="7">
        <v>20047843.801031489</v>
      </c>
      <c r="AA9" s="8"/>
      <c r="AB9" s="7">
        <v>19765130.97238202</v>
      </c>
      <c r="AC9" s="8"/>
      <c r="AD9" s="7">
        <v>15539465.205795823</v>
      </c>
      <c r="AE9" s="8"/>
      <c r="AF9" s="7">
        <v>11817491.396133363</v>
      </c>
      <c r="AG9" s="8"/>
      <c r="AH9" s="7">
        <v>12308662.42564871</v>
      </c>
      <c r="AI9" s="8"/>
      <c r="AJ9" s="7">
        <v>8003875.1700000009</v>
      </c>
      <c r="AK9" s="8"/>
      <c r="AL9" s="7">
        <v>6748038.4364688722</v>
      </c>
      <c r="AM9" s="8"/>
      <c r="AN9" s="7">
        <v>7144900.4284027237</v>
      </c>
      <c r="AO9" s="8"/>
      <c r="AP9" s="7">
        <v>6775792.4268901395</v>
      </c>
      <c r="AQ9" s="7"/>
      <c r="AR9" s="7">
        <v>6027392.1876911223</v>
      </c>
      <c r="AS9" s="8"/>
      <c r="AT9" s="7">
        <v>5690676.0262264963</v>
      </c>
      <c r="AU9" s="8"/>
      <c r="AV9" s="7">
        <v>5569177.9865662837</v>
      </c>
      <c r="AW9" s="8"/>
      <c r="AX9" s="7">
        <v>5487159.0700000003</v>
      </c>
      <c r="AY9" s="8"/>
      <c r="AZ9" s="7"/>
      <c r="BA9" s="8"/>
      <c r="BB9" s="7"/>
      <c r="BC9" s="8"/>
      <c r="BD9" s="7"/>
      <c r="BE9" s="8"/>
      <c r="BF9" s="7"/>
      <c r="BG9" s="8"/>
      <c r="BH9" s="7"/>
      <c r="BI9" s="8"/>
      <c r="BJ9" s="7"/>
      <c r="BK9" s="8"/>
      <c r="BL9" s="7"/>
      <c r="BM9" s="8"/>
      <c r="BN9" s="7"/>
      <c r="BO9" s="8"/>
      <c r="BP9" s="7"/>
      <c r="BQ9" s="8"/>
      <c r="BR9" s="7"/>
      <c r="BS9" s="8"/>
      <c r="BT9" s="7"/>
      <c r="BU9" s="8"/>
      <c r="BV9" s="7"/>
      <c r="BW9" s="8"/>
      <c r="BX9" s="7"/>
      <c r="BY9" s="8"/>
      <c r="BZ9" s="7"/>
      <c r="CA9" s="8"/>
      <c r="CB9" s="7"/>
      <c r="CC9" s="8"/>
      <c r="CD9" s="7"/>
      <c r="CE9" s="8"/>
      <c r="CF9" s="7"/>
      <c r="CG9" s="8"/>
      <c r="CH9" s="7"/>
      <c r="CI9" s="8"/>
      <c r="CJ9" s="7"/>
      <c r="CK9" s="8"/>
      <c r="CL9" s="7"/>
      <c r="CM9" s="8"/>
      <c r="CN9" s="7"/>
      <c r="CO9" s="8"/>
      <c r="CP9" s="7"/>
      <c r="CQ9" s="8"/>
      <c r="CR9" s="7"/>
      <c r="CS9" s="8"/>
      <c r="CT9" s="7"/>
      <c r="CU9" s="8"/>
      <c r="CV9" s="7"/>
      <c r="CW9" s="8"/>
      <c r="CX9" s="7"/>
      <c r="CY9" s="8"/>
      <c r="CZ9" s="7"/>
      <c r="DA9" s="8"/>
      <c r="DB9" s="7"/>
      <c r="DC9" s="8"/>
    </row>
    <row r="10" spans="1:107" ht="11.25" customHeight="1">
      <c r="B10" s="9" t="s">
        <v>12</v>
      </c>
      <c r="C10" s="9"/>
      <c r="D10" s="7"/>
      <c r="E10" s="9"/>
      <c r="F10" s="7"/>
      <c r="G10" s="9"/>
      <c r="H10" s="7"/>
      <c r="I10" s="9"/>
      <c r="J10" s="7">
        <v>1374624.2096999998</v>
      </c>
      <c r="K10" s="9"/>
      <c r="L10" s="7">
        <v>1124001.9594999999</v>
      </c>
      <c r="M10" s="9"/>
      <c r="N10" s="7">
        <v>993655.5699</v>
      </c>
      <c r="O10" s="9"/>
      <c r="P10" s="7">
        <v>757442.72029999993</v>
      </c>
      <c r="Q10" s="9"/>
      <c r="R10" s="7">
        <v>531654.11599999992</v>
      </c>
      <c r="S10" s="9"/>
      <c r="T10" s="7">
        <v>405543.47259999998</v>
      </c>
      <c r="U10" s="9"/>
      <c r="V10" s="7">
        <v>177371.66999999998</v>
      </c>
      <c r="W10" s="9"/>
      <c r="X10" s="7">
        <v>351730.54559999995</v>
      </c>
      <c r="Y10" s="9"/>
      <c r="Z10" s="7">
        <v>393817.1</v>
      </c>
      <c r="AA10" s="9"/>
      <c r="AB10" s="7">
        <v>1404895.825</v>
      </c>
      <c r="AC10" s="9"/>
      <c r="AD10" s="7">
        <v>0</v>
      </c>
      <c r="AE10" s="9"/>
      <c r="AF10" s="7">
        <v>0</v>
      </c>
      <c r="AG10" s="9"/>
      <c r="AH10" s="7">
        <v>661023.06000000006</v>
      </c>
      <c r="AI10" s="9"/>
      <c r="AJ10" s="7">
        <v>661023.06000000006</v>
      </c>
      <c r="AK10" s="9"/>
      <c r="AL10" s="7">
        <v>715604.96499999997</v>
      </c>
      <c r="AM10" s="9"/>
      <c r="AN10" s="7">
        <v>730604.96499999997</v>
      </c>
      <c r="AO10" s="9"/>
      <c r="AP10" s="7">
        <v>759936.95500000007</v>
      </c>
      <c r="AQ10" s="7"/>
      <c r="AR10" s="7">
        <v>767538.14500000002</v>
      </c>
      <c r="AS10" s="9"/>
      <c r="AT10" s="7">
        <v>0</v>
      </c>
      <c r="AU10" s="9"/>
      <c r="AV10" s="7">
        <v>0</v>
      </c>
      <c r="AW10" s="9"/>
      <c r="AX10" s="7">
        <v>64503.635000000024</v>
      </c>
      <c r="AY10" s="9"/>
      <c r="AZ10" s="7">
        <v>183442.21000000002</v>
      </c>
      <c r="BA10" s="9"/>
      <c r="BB10" s="7">
        <v>1472899.675</v>
      </c>
      <c r="BC10" s="9"/>
      <c r="BD10" s="7">
        <v>1472899.675</v>
      </c>
      <c r="BE10" s="9"/>
      <c r="BF10" s="7">
        <v>1531110.08</v>
      </c>
      <c r="BG10" s="9"/>
      <c r="BH10" s="7">
        <v>1531110.08</v>
      </c>
      <c r="BI10" s="9"/>
      <c r="BJ10" s="7">
        <v>1450985.0650000002</v>
      </c>
      <c r="BK10" s="9"/>
      <c r="BL10" s="7">
        <v>1433853.27</v>
      </c>
      <c r="BM10" s="9"/>
      <c r="BN10" s="7">
        <v>1457986.2100000002</v>
      </c>
      <c r="BO10" s="9"/>
      <c r="BP10" s="7">
        <v>1381147.09</v>
      </c>
      <c r="BQ10" s="9"/>
      <c r="BR10" s="7">
        <v>1385840.81</v>
      </c>
      <c r="BS10" s="9"/>
      <c r="BT10" s="7">
        <v>1394493.86</v>
      </c>
      <c r="BU10" s="9"/>
      <c r="BV10" s="7">
        <v>1394494.365</v>
      </c>
      <c r="BW10" s="9"/>
      <c r="BX10" s="7">
        <v>1197890.78</v>
      </c>
      <c r="BY10" s="9"/>
      <c r="BZ10" s="7">
        <v>1197890.78</v>
      </c>
      <c r="CA10" s="9"/>
      <c r="CB10" s="7">
        <v>1198089.93</v>
      </c>
      <c r="CC10" s="9"/>
      <c r="CD10" s="7">
        <v>1198123.425</v>
      </c>
      <c r="CE10" s="9"/>
      <c r="CF10" s="7">
        <v>1199739.45</v>
      </c>
      <c r="CG10" s="9"/>
      <c r="CH10" s="7">
        <v>899869.75</v>
      </c>
      <c r="CI10" s="9"/>
      <c r="CJ10" s="7">
        <v>899929.15</v>
      </c>
      <c r="CK10" s="9"/>
      <c r="CL10" s="7">
        <v>149989</v>
      </c>
      <c r="CM10" s="9"/>
      <c r="CN10" s="7">
        <v>137445.03</v>
      </c>
      <c r="CO10" s="9"/>
      <c r="CP10" s="7">
        <v>2500</v>
      </c>
      <c r="CQ10" s="8"/>
      <c r="CR10" s="7">
        <v>2500</v>
      </c>
      <c r="CS10" s="9"/>
      <c r="CT10" s="7">
        <v>0</v>
      </c>
      <c r="CU10" s="9"/>
      <c r="CV10" s="7">
        <v>1569.38</v>
      </c>
      <c r="CW10" s="8"/>
      <c r="CX10" s="7">
        <v>1728.8700000000003</v>
      </c>
      <c r="CY10" s="8"/>
      <c r="CZ10" s="7">
        <v>2108.7600000000002</v>
      </c>
      <c r="DA10" s="8"/>
      <c r="DB10" s="7">
        <v>2500</v>
      </c>
      <c r="DC10" s="9"/>
    </row>
    <row r="11" spans="1:107">
      <c r="B11" s="8" t="s">
        <v>13</v>
      </c>
      <c r="C11" s="8"/>
      <c r="D11" s="7"/>
      <c r="E11" s="8"/>
      <c r="F11" s="7"/>
      <c r="G11" s="8"/>
      <c r="H11" s="7"/>
      <c r="I11" s="8"/>
      <c r="J11" s="7">
        <v>145438.02777499962</v>
      </c>
      <c r="K11" s="8"/>
      <c r="L11" s="7">
        <v>158335.33999999985</v>
      </c>
      <c r="M11" s="8"/>
      <c r="N11" s="7">
        <v>117323.67460400029</v>
      </c>
      <c r="O11" s="8"/>
      <c r="P11" s="7">
        <v>86561.339999999851</v>
      </c>
      <c r="Q11" s="8"/>
      <c r="R11" s="7">
        <v>80589.601800000062</v>
      </c>
      <c r="S11" s="8"/>
      <c r="T11" s="7">
        <v>60849.395218999591</v>
      </c>
      <c r="U11" s="8"/>
      <c r="V11" s="7">
        <v>116726.27875000006</v>
      </c>
      <c r="W11" s="8"/>
      <c r="X11" s="7">
        <v>117167.67037100019</v>
      </c>
      <c r="Y11" s="8"/>
      <c r="Z11" s="7">
        <v>2596203.2044020002</v>
      </c>
      <c r="AA11" s="8"/>
      <c r="AB11" s="7">
        <v>60587.68</v>
      </c>
      <c r="AC11" s="8"/>
      <c r="AD11" s="7">
        <v>50180.271999999997</v>
      </c>
      <c r="AE11" s="8"/>
      <c r="AF11" s="7">
        <v>50317.948000000004</v>
      </c>
      <c r="AG11" s="8"/>
      <c r="AH11" s="7">
        <v>26500</v>
      </c>
      <c r="AI11" s="8"/>
      <c r="AJ11" s="7">
        <v>26500</v>
      </c>
      <c r="AK11" s="8"/>
      <c r="AL11" s="7">
        <v>343501</v>
      </c>
      <c r="AM11" s="8"/>
      <c r="AN11" s="7">
        <v>343501</v>
      </c>
      <c r="AO11" s="8"/>
      <c r="AP11" s="7">
        <v>668501</v>
      </c>
      <c r="AQ11" s="7"/>
      <c r="AR11" s="7">
        <v>968501</v>
      </c>
      <c r="AS11" s="8"/>
      <c r="AT11" s="7">
        <v>1706351.01</v>
      </c>
      <c r="AU11" s="8"/>
      <c r="AV11" s="7">
        <v>2036057.11</v>
      </c>
      <c r="AW11" s="8"/>
      <c r="AX11" s="7">
        <v>2127253.4</v>
      </c>
      <c r="AY11" s="8"/>
      <c r="AZ11" s="7">
        <v>2258701</v>
      </c>
      <c r="BA11" s="8"/>
      <c r="BB11" s="7">
        <v>1736005.8</v>
      </c>
      <c r="BC11" s="8"/>
      <c r="BD11" s="7">
        <v>1753560.12</v>
      </c>
      <c r="BE11" s="8"/>
      <c r="BF11" s="7">
        <v>422109.32</v>
      </c>
      <c r="BG11" s="8"/>
      <c r="BH11" s="7">
        <v>421394.88</v>
      </c>
      <c r="BI11" s="8"/>
      <c r="BJ11" s="7">
        <v>11244.52</v>
      </c>
      <c r="BK11" s="8"/>
      <c r="BL11" s="7">
        <v>4604.5200000000004</v>
      </c>
      <c r="BM11" s="8"/>
      <c r="BN11" s="7">
        <v>1500</v>
      </c>
      <c r="BO11" s="8"/>
      <c r="BP11" s="7">
        <v>1500</v>
      </c>
      <c r="BQ11" s="8"/>
      <c r="BR11" s="7">
        <v>1500</v>
      </c>
      <c r="BS11" s="8"/>
      <c r="BT11" s="7">
        <v>1500</v>
      </c>
      <c r="BU11" s="8"/>
      <c r="BV11" s="7">
        <v>1500</v>
      </c>
      <c r="BW11" s="8"/>
      <c r="BX11" s="7">
        <v>27572.44</v>
      </c>
      <c r="BY11" s="8"/>
      <c r="BZ11" s="7">
        <v>46737.46</v>
      </c>
      <c r="CA11" s="8"/>
      <c r="CB11" s="7">
        <v>65902.48</v>
      </c>
      <c r="CC11" s="8"/>
      <c r="CD11" s="7">
        <v>85067.5</v>
      </c>
      <c r="CE11" s="8"/>
      <c r="CF11" s="7">
        <v>104232.58</v>
      </c>
      <c r="CG11" s="8"/>
      <c r="CH11" s="7">
        <v>117320.20999999999</v>
      </c>
      <c r="CI11" s="8"/>
      <c r="CJ11" s="7">
        <v>86669.74</v>
      </c>
      <c r="CK11" s="8"/>
      <c r="CL11" s="7">
        <v>1500</v>
      </c>
      <c r="CM11" s="8"/>
      <c r="CN11" s="7">
        <v>1500</v>
      </c>
      <c r="CO11" s="8"/>
      <c r="CP11" s="7">
        <v>19230</v>
      </c>
      <c r="CQ11" s="8"/>
      <c r="CR11" s="7">
        <v>19230</v>
      </c>
      <c r="CS11" s="8"/>
      <c r="CT11" s="7">
        <v>19230</v>
      </c>
      <c r="CU11" s="8"/>
      <c r="CV11" s="7">
        <v>49051.79</v>
      </c>
      <c r="CW11" s="8"/>
      <c r="CX11" s="7">
        <v>47211.79</v>
      </c>
      <c r="CY11" s="8"/>
      <c r="CZ11" s="7">
        <v>350362.23</v>
      </c>
      <c r="DA11" s="8"/>
      <c r="DB11" s="7">
        <v>43721.79</v>
      </c>
      <c r="DC11" s="8"/>
    </row>
    <row r="12" spans="1:107" hidden="1">
      <c r="B12" s="8" t="s">
        <v>14</v>
      </c>
      <c r="C12" s="8"/>
      <c r="D12" s="7"/>
      <c r="E12" s="8"/>
      <c r="F12" s="7"/>
      <c r="G12" s="8"/>
      <c r="H12" s="7"/>
      <c r="I12" s="8"/>
      <c r="J12" s="7"/>
      <c r="K12" s="8"/>
      <c r="L12" s="7"/>
      <c r="M12" s="8"/>
      <c r="N12" s="7"/>
      <c r="O12" s="8"/>
      <c r="P12" s="7"/>
      <c r="Q12" s="8"/>
      <c r="R12" s="7"/>
      <c r="S12" s="8"/>
      <c r="T12" s="7"/>
      <c r="U12" s="8"/>
      <c r="V12" s="7"/>
      <c r="W12" s="8"/>
      <c r="X12" s="7"/>
      <c r="Y12" s="8"/>
      <c r="Z12" s="7"/>
      <c r="AA12" s="8"/>
      <c r="AB12" s="7"/>
      <c r="AC12" s="8"/>
      <c r="AD12" s="7"/>
      <c r="AE12" s="8"/>
      <c r="AF12" s="7"/>
      <c r="AG12" s="8"/>
      <c r="AH12" s="7">
        <v>0</v>
      </c>
      <c r="AI12" s="8"/>
      <c r="AJ12" s="7"/>
      <c r="AK12" s="8"/>
      <c r="AL12" s="7"/>
      <c r="AM12" s="8"/>
      <c r="AN12" s="7"/>
      <c r="AO12" s="8"/>
      <c r="AP12" s="7"/>
      <c r="AQ12" s="7"/>
      <c r="AR12" s="7"/>
      <c r="AS12" s="8"/>
      <c r="AT12" s="7">
        <v>0</v>
      </c>
      <c r="AU12" s="8"/>
      <c r="AV12" s="7">
        <f>SUM(AV13:AV16)</f>
        <v>2627297.1199999996</v>
      </c>
      <c r="AW12" s="8"/>
      <c r="AX12" s="7">
        <f>SUM(AX13:AX16)</f>
        <v>2404485.4500000002</v>
      </c>
      <c r="AY12" s="8"/>
      <c r="AZ12" s="7">
        <v>2066608.3000000003</v>
      </c>
      <c r="BA12" s="8"/>
      <c r="BB12" s="7">
        <f>SUM(BB13:BB16)</f>
        <v>609995.04</v>
      </c>
      <c r="BC12" s="8"/>
      <c r="BD12" s="7">
        <v>404075.48</v>
      </c>
      <c r="BE12" s="8"/>
      <c r="BF12" s="7">
        <v>250000</v>
      </c>
      <c r="BG12" s="8"/>
      <c r="BH12" s="7">
        <v>0</v>
      </c>
      <c r="BI12" s="8"/>
      <c r="BJ12" s="7">
        <f>SUM(BJ13:BJ16)</f>
        <v>0</v>
      </c>
      <c r="BK12" s="8"/>
      <c r="BL12" s="7">
        <f>SUM(BL13:BL16)</f>
        <v>0</v>
      </c>
      <c r="BM12" s="8"/>
      <c r="BN12" s="7">
        <v>0</v>
      </c>
      <c r="BO12" s="8"/>
      <c r="BP12" s="7">
        <v>0</v>
      </c>
      <c r="BQ12" s="8"/>
      <c r="BR12" s="7">
        <f>SUM(BR13:BR16)</f>
        <v>0</v>
      </c>
      <c r="BS12" s="8"/>
      <c r="BT12" s="7">
        <f>SUM(BT13:BT16)</f>
        <v>0</v>
      </c>
      <c r="BU12" s="8"/>
      <c r="BV12" s="7">
        <f>SUM(BV13:BV16)</f>
        <v>0</v>
      </c>
      <c r="BW12" s="8"/>
      <c r="BX12" s="7">
        <v>0</v>
      </c>
      <c r="BY12" s="8"/>
      <c r="BZ12" s="7">
        <f>SUM(BZ13:BZ16)</f>
        <v>0</v>
      </c>
      <c r="CA12" s="8"/>
      <c r="CB12" s="7">
        <f>SUM(CB13:CB16)</f>
        <v>0</v>
      </c>
      <c r="CC12" s="8"/>
      <c r="CD12" s="7">
        <f>SUM(CD13:CD16)</f>
        <v>0</v>
      </c>
      <c r="CE12" s="8"/>
      <c r="CF12" s="7">
        <v>0</v>
      </c>
      <c r="CG12" s="8"/>
      <c r="CH12" s="7">
        <v>0</v>
      </c>
      <c r="CI12" s="8"/>
      <c r="CJ12" s="7">
        <v>0</v>
      </c>
      <c r="CK12" s="8"/>
      <c r="CL12" s="7">
        <v>0</v>
      </c>
      <c r="CM12" s="8"/>
      <c r="CN12" s="7">
        <v>0</v>
      </c>
      <c r="CO12" s="8"/>
      <c r="CP12" s="7">
        <v>0</v>
      </c>
      <c r="CQ12" s="8"/>
      <c r="CR12" s="7">
        <f>SUM(CR13:CR16)</f>
        <v>0</v>
      </c>
      <c r="CS12" s="8"/>
      <c r="CT12" s="7">
        <v>0</v>
      </c>
      <c r="CU12" s="8"/>
      <c r="CV12" s="7">
        <v>0</v>
      </c>
      <c r="CW12" s="8"/>
      <c r="CX12" s="7">
        <f>SUM(CX13:CX16)</f>
        <v>0</v>
      </c>
      <c r="CY12" s="8"/>
      <c r="CZ12" s="7">
        <v>0</v>
      </c>
      <c r="DA12" s="8"/>
      <c r="DB12" s="7">
        <v>0</v>
      </c>
      <c r="DC12" s="8"/>
    </row>
    <row r="13" spans="1:107">
      <c r="B13" s="8" t="s">
        <v>15</v>
      </c>
      <c r="C13" s="10"/>
      <c r="D13" s="7"/>
      <c r="E13" s="10"/>
      <c r="F13" s="7"/>
      <c r="G13" s="10"/>
      <c r="H13" s="7"/>
      <c r="I13" s="10"/>
      <c r="J13" s="7">
        <v>241423.13</v>
      </c>
      <c r="K13" s="10"/>
      <c r="L13" s="7">
        <v>236729.87</v>
      </c>
      <c r="M13" s="10"/>
      <c r="N13" s="7">
        <v>232036.61</v>
      </c>
      <c r="O13" s="10"/>
      <c r="P13" s="7">
        <v>227394.36</v>
      </c>
      <c r="Q13" s="10"/>
      <c r="R13" s="7">
        <v>222752.11</v>
      </c>
      <c r="S13" s="10"/>
      <c r="T13" s="7">
        <v>218058.85000000009</v>
      </c>
      <c r="U13" s="10"/>
      <c r="V13" s="7">
        <v>212954.0299999998</v>
      </c>
      <c r="W13" s="10"/>
      <c r="X13" s="7">
        <v>208580.33000000007</v>
      </c>
      <c r="Y13" s="10"/>
      <c r="Z13" s="7">
        <v>193447.16999999993</v>
      </c>
      <c r="AA13" s="10"/>
      <c r="AB13" s="7">
        <v>0</v>
      </c>
      <c r="AC13" s="10"/>
      <c r="AD13" s="7">
        <v>1990014.5599999996</v>
      </c>
      <c r="AE13" s="10"/>
      <c r="AF13" s="7">
        <v>1995697.7199999997</v>
      </c>
      <c r="AG13" s="10"/>
      <c r="AH13" s="7">
        <v>2070014.56</v>
      </c>
      <c r="AI13" s="10"/>
      <c r="AJ13" s="7">
        <v>1670014.5700000003</v>
      </c>
      <c r="AK13" s="10"/>
      <c r="AL13" s="7">
        <v>2070155.4899999998</v>
      </c>
      <c r="AM13" s="10"/>
      <c r="AN13" s="7">
        <v>1953790.8599999999</v>
      </c>
      <c r="AO13" s="10"/>
      <c r="AP13" s="7">
        <v>1838204.5999999996</v>
      </c>
      <c r="AQ13" s="7"/>
      <c r="AR13" s="7">
        <v>1775502.2200000002</v>
      </c>
      <c r="AS13" s="10"/>
      <c r="AT13" s="7">
        <v>2651199.1</v>
      </c>
      <c r="AU13" s="10"/>
      <c r="AV13" s="7">
        <v>2627297.1199999996</v>
      </c>
      <c r="AW13" s="10"/>
      <c r="AX13" s="7">
        <v>2404485.4500000002</v>
      </c>
      <c r="AY13" s="10"/>
      <c r="AZ13" s="7">
        <v>2066608.3000000003</v>
      </c>
      <c r="BA13" s="10"/>
      <c r="BB13" s="7">
        <v>609995.04</v>
      </c>
      <c r="BC13" s="10"/>
      <c r="BD13" s="7">
        <v>404075.48</v>
      </c>
      <c r="BE13" s="10"/>
      <c r="BF13" s="7">
        <v>250000</v>
      </c>
      <c r="BG13" s="10"/>
      <c r="BH13" s="7">
        <v>0</v>
      </c>
      <c r="BI13" s="10"/>
      <c r="BJ13" s="7">
        <v>0</v>
      </c>
      <c r="BK13" s="10"/>
      <c r="BL13" s="7">
        <v>0</v>
      </c>
      <c r="BM13" s="10"/>
      <c r="BN13" s="7">
        <v>0</v>
      </c>
      <c r="BO13" s="10"/>
      <c r="BP13" s="7">
        <v>0</v>
      </c>
      <c r="BQ13" s="10"/>
      <c r="BR13" s="7">
        <v>0</v>
      </c>
      <c r="BS13" s="10"/>
      <c r="BT13" s="7">
        <v>0</v>
      </c>
      <c r="BU13" s="10"/>
      <c r="BV13" s="7">
        <v>0</v>
      </c>
      <c r="BW13" s="10"/>
      <c r="BX13" s="7">
        <v>0</v>
      </c>
      <c r="BY13" s="10"/>
      <c r="BZ13" s="7">
        <v>0</v>
      </c>
      <c r="CA13" s="10"/>
      <c r="CB13" s="7">
        <v>0</v>
      </c>
      <c r="CC13" s="10"/>
      <c r="CD13" s="7">
        <v>0</v>
      </c>
      <c r="CE13" s="10"/>
      <c r="CF13" s="7">
        <v>0</v>
      </c>
      <c r="CG13" s="10"/>
      <c r="CH13" s="7">
        <v>0</v>
      </c>
      <c r="CI13" s="10"/>
      <c r="CJ13" s="7">
        <v>0</v>
      </c>
      <c r="CK13" s="10"/>
      <c r="CL13" s="7">
        <v>0</v>
      </c>
      <c r="CM13" s="10"/>
      <c r="CN13" s="7">
        <v>0</v>
      </c>
      <c r="CO13" s="10"/>
      <c r="CP13" s="7">
        <v>0</v>
      </c>
      <c r="CQ13" s="8"/>
      <c r="CR13" s="7">
        <v>0</v>
      </c>
      <c r="CS13" s="10"/>
      <c r="CT13" s="7">
        <v>0</v>
      </c>
      <c r="CU13" s="10"/>
      <c r="CV13" s="7">
        <v>0</v>
      </c>
      <c r="CW13" s="8"/>
      <c r="CX13" s="7">
        <v>0</v>
      </c>
      <c r="CY13" s="8"/>
      <c r="CZ13" s="7">
        <v>0</v>
      </c>
      <c r="DA13" s="8"/>
      <c r="DB13" s="7">
        <v>0</v>
      </c>
      <c r="DC13" s="10"/>
    </row>
    <row r="14" spans="1:107">
      <c r="B14" s="8" t="s">
        <v>16</v>
      </c>
      <c r="C14" s="10"/>
      <c r="D14" s="7"/>
      <c r="E14" s="10"/>
      <c r="F14" s="7"/>
      <c r="G14" s="10"/>
      <c r="H14" s="7"/>
      <c r="I14" s="10"/>
      <c r="J14" s="7">
        <v>0</v>
      </c>
      <c r="K14" s="10"/>
      <c r="L14" s="7">
        <v>0</v>
      </c>
      <c r="M14" s="10"/>
      <c r="N14" s="7">
        <v>0</v>
      </c>
      <c r="O14" s="10"/>
      <c r="P14" s="7">
        <v>0</v>
      </c>
      <c r="Q14" s="10"/>
      <c r="R14" s="7">
        <v>0</v>
      </c>
      <c r="S14" s="10"/>
      <c r="T14" s="7">
        <v>0</v>
      </c>
      <c r="U14" s="10"/>
      <c r="V14" s="7">
        <v>0</v>
      </c>
      <c r="W14" s="10"/>
      <c r="X14" s="7">
        <v>0</v>
      </c>
      <c r="Y14" s="10"/>
      <c r="Z14" s="7">
        <v>0</v>
      </c>
      <c r="AA14" s="10"/>
      <c r="AB14" s="7">
        <v>0</v>
      </c>
      <c r="AC14" s="10"/>
      <c r="AD14" s="7">
        <v>0</v>
      </c>
      <c r="AE14" s="10"/>
      <c r="AF14" s="7">
        <v>0</v>
      </c>
      <c r="AG14" s="10"/>
      <c r="AH14" s="7">
        <v>18979.999999999884</v>
      </c>
      <c r="AI14" s="10"/>
      <c r="AJ14" s="7">
        <v>0</v>
      </c>
      <c r="AK14" s="10"/>
      <c r="AL14" s="7">
        <v>0</v>
      </c>
      <c r="AM14" s="10"/>
      <c r="AN14" s="7">
        <v>0</v>
      </c>
      <c r="AO14" s="10"/>
      <c r="AP14" s="7">
        <v>0</v>
      </c>
      <c r="AQ14" s="7"/>
      <c r="AR14" s="7">
        <v>0</v>
      </c>
      <c r="AS14" s="10"/>
      <c r="AT14" s="7">
        <v>0</v>
      </c>
      <c r="AU14" s="10"/>
      <c r="AV14" s="7">
        <v>0</v>
      </c>
      <c r="AW14" s="10"/>
      <c r="AX14" s="7">
        <v>0</v>
      </c>
      <c r="AY14" s="10"/>
      <c r="AZ14" s="7">
        <v>0</v>
      </c>
      <c r="BA14" s="10"/>
      <c r="BB14" s="7">
        <v>0</v>
      </c>
      <c r="BC14" s="10"/>
      <c r="BD14" s="7">
        <v>0</v>
      </c>
      <c r="BE14" s="10"/>
      <c r="BF14" s="7">
        <v>0</v>
      </c>
      <c r="BG14" s="10"/>
      <c r="BH14" s="7">
        <v>0</v>
      </c>
      <c r="BI14" s="10"/>
      <c r="BJ14" s="7">
        <v>0</v>
      </c>
      <c r="BK14" s="10"/>
      <c r="BL14" s="7">
        <v>0</v>
      </c>
      <c r="BM14" s="10"/>
      <c r="BN14" s="7">
        <v>0</v>
      </c>
      <c r="BO14" s="10"/>
      <c r="BP14" s="7">
        <v>0</v>
      </c>
      <c r="BQ14" s="10"/>
      <c r="BR14" s="7">
        <v>0</v>
      </c>
      <c r="BS14" s="10"/>
      <c r="BT14" s="7">
        <v>0</v>
      </c>
      <c r="BU14" s="10"/>
      <c r="BV14" s="7">
        <v>0</v>
      </c>
      <c r="BW14" s="10"/>
      <c r="BX14" s="7">
        <v>0</v>
      </c>
      <c r="BY14" s="10"/>
      <c r="BZ14" s="7">
        <v>0</v>
      </c>
      <c r="CA14" s="10"/>
      <c r="CB14" s="7">
        <v>0</v>
      </c>
      <c r="CC14" s="10"/>
      <c r="CD14" s="7">
        <v>0</v>
      </c>
      <c r="CE14" s="10"/>
      <c r="CF14" s="7">
        <v>0</v>
      </c>
      <c r="CG14" s="10"/>
      <c r="CH14" s="7">
        <v>0</v>
      </c>
      <c r="CI14" s="10"/>
      <c r="CJ14" s="7">
        <v>0</v>
      </c>
      <c r="CK14" s="10"/>
      <c r="CL14" s="7">
        <v>0</v>
      </c>
      <c r="CM14" s="10"/>
      <c r="CN14" s="7">
        <v>0</v>
      </c>
      <c r="CO14" s="10"/>
      <c r="CP14" s="7">
        <v>0</v>
      </c>
      <c r="CQ14" s="8"/>
      <c r="CR14" s="7">
        <v>0</v>
      </c>
      <c r="CS14" s="10"/>
      <c r="CT14" s="7">
        <v>0</v>
      </c>
      <c r="CU14" s="10"/>
      <c r="CV14" s="7">
        <v>0</v>
      </c>
      <c r="CW14" s="8"/>
      <c r="CX14" s="7">
        <v>0</v>
      </c>
      <c r="CY14" s="8"/>
      <c r="CZ14" s="7">
        <v>0</v>
      </c>
      <c r="DA14" s="8"/>
      <c r="DB14" s="7">
        <v>0</v>
      </c>
      <c r="DC14" s="10"/>
    </row>
    <row r="15" spans="1:107">
      <c r="B15" s="8" t="s">
        <v>17</v>
      </c>
      <c r="C15" s="10"/>
      <c r="D15" s="7"/>
      <c r="E15" s="10"/>
      <c r="F15" s="7"/>
      <c r="G15" s="10"/>
      <c r="H15" s="7"/>
      <c r="I15" s="10"/>
      <c r="J15" s="7">
        <v>2750936</v>
      </c>
      <c r="K15" s="10"/>
      <c r="L15" s="7">
        <v>2676234</v>
      </c>
      <c r="M15" s="10"/>
      <c r="N15" s="7">
        <v>2900884</v>
      </c>
      <c r="O15" s="10"/>
      <c r="P15" s="7">
        <v>2962185</v>
      </c>
      <c r="Q15" s="10"/>
      <c r="R15" s="7">
        <v>1644370</v>
      </c>
      <c r="S15" s="10"/>
      <c r="T15" s="7">
        <v>1644370</v>
      </c>
      <c r="U15" s="10"/>
      <c r="V15" s="7">
        <v>1774500</v>
      </c>
      <c r="W15" s="10"/>
      <c r="X15" s="7">
        <v>0</v>
      </c>
      <c r="Y15" s="10"/>
      <c r="Z15" s="7">
        <v>0</v>
      </c>
      <c r="AA15" s="10"/>
      <c r="AB15" s="7">
        <v>0</v>
      </c>
      <c r="AC15" s="10"/>
      <c r="AD15" s="7">
        <v>0</v>
      </c>
      <c r="AE15" s="10"/>
      <c r="AF15" s="7">
        <v>0</v>
      </c>
      <c r="AG15" s="10"/>
      <c r="AH15" s="7">
        <v>0</v>
      </c>
      <c r="AI15" s="10"/>
      <c r="AJ15" s="7">
        <v>0</v>
      </c>
      <c r="AK15" s="10"/>
      <c r="AL15" s="7">
        <v>0</v>
      </c>
      <c r="AM15" s="10"/>
      <c r="AN15" s="7">
        <v>0</v>
      </c>
      <c r="AO15" s="10"/>
      <c r="AP15" s="7">
        <v>0</v>
      </c>
      <c r="AQ15" s="7"/>
      <c r="AR15" s="7">
        <v>0</v>
      </c>
      <c r="AS15" s="10"/>
      <c r="AT15" s="7">
        <v>0</v>
      </c>
      <c r="AU15" s="10"/>
      <c r="AV15" s="7">
        <v>0</v>
      </c>
      <c r="AW15" s="10"/>
      <c r="AX15" s="7">
        <v>0</v>
      </c>
      <c r="AY15" s="10"/>
      <c r="AZ15" s="7">
        <v>0</v>
      </c>
      <c r="BA15" s="10"/>
      <c r="BB15" s="7">
        <v>0</v>
      </c>
      <c r="BC15" s="10"/>
      <c r="BD15" s="7">
        <v>0</v>
      </c>
      <c r="BE15" s="10"/>
      <c r="BF15" s="7">
        <v>0</v>
      </c>
      <c r="BG15" s="10"/>
      <c r="BH15" s="7">
        <v>0</v>
      </c>
      <c r="BI15" s="10"/>
      <c r="BJ15" s="7">
        <v>0</v>
      </c>
      <c r="BK15" s="10"/>
      <c r="BL15" s="7">
        <v>0</v>
      </c>
      <c r="BM15" s="10"/>
      <c r="BN15" s="7">
        <v>0</v>
      </c>
      <c r="BO15" s="10"/>
      <c r="BP15" s="7">
        <v>0</v>
      </c>
      <c r="BQ15" s="10"/>
      <c r="BR15" s="7">
        <v>0</v>
      </c>
      <c r="BS15" s="10"/>
      <c r="BT15" s="7">
        <v>0</v>
      </c>
      <c r="BU15" s="10"/>
      <c r="BV15" s="7">
        <v>0</v>
      </c>
      <c r="BW15" s="10"/>
      <c r="BX15" s="7">
        <v>0</v>
      </c>
      <c r="BY15" s="10"/>
      <c r="BZ15" s="7">
        <v>0</v>
      </c>
      <c r="CA15" s="10"/>
      <c r="CB15" s="7">
        <v>0</v>
      </c>
      <c r="CC15" s="10"/>
      <c r="CD15" s="7">
        <v>0</v>
      </c>
      <c r="CE15" s="10"/>
      <c r="CF15" s="7">
        <v>0</v>
      </c>
      <c r="CG15" s="10"/>
      <c r="CH15" s="7">
        <v>0</v>
      </c>
      <c r="CI15" s="10"/>
      <c r="CJ15" s="7">
        <v>0</v>
      </c>
      <c r="CK15" s="10"/>
      <c r="CL15" s="7">
        <v>0</v>
      </c>
      <c r="CM15" s="10"/>
      <c r="CN15" s="7">
        <v>0</v>
      </c>
      <c r="CO15" s="10"/>
      <c r="CP15" s="7">
        <v>0</v>
      </c>
      <c r="CQ15" s="8"/>
      <c r="CR15" s="7">
        <v>0</v>
      </c>
      <c r="CS15" s="10"/>
      <c r="CT15" s="7">
        <v>0</v>
      </c>
      <c r="CU15" s="10"/>
      <c r="CV15" s="7">
        <v>0</v>
      </c>
      <c r="CW15" s="8"/>
      <c r="CX15" s="7">
        <v>0</v>
      </c>
      <c r="CY15" s="8"/>
      <c r="CZ15" s="7">
        <v>0</v>
      </c>
      <c r="DA15" s="8"/>
      <c r="DB15" s="7">
        <v>0</v>
      </c>
      <c r="DC15" s="10"/>
    </row>
    <row r="16" spans="1:107">
      <c r="B16" s="8" t="s">
        <v>18</v>
      </c>
      <c r="C16" s="10"/>
      <c r="D16" s="7"/>
      <c r="E16" s="10"/>
      <c r="F16" s="7"/>
      <c r="G16" s="10"/>
      <c r="H16" s="7"/>
      <c r="I16" s="10"/>
      <c r="J16" s="7">
        <v>0</v>
      </c>
      <c r="K16" s="10"/>
      <c r="L16" s="7">
        <v>0</v>
      </c>
      <c r="M16" s="10"/>
      <c r="N16" s="7">
        <v>0</v>
      </c>
      <c r="O16" s="10"/>
      <c r="P16" s="7">
        <v>0</v>
      </c>
      <c r="Q16" s="10"/>
      <c r="R16" s="7">
        <v>0</v>
      </c>
      <c r="S16" s="10"/>
      <c r="T16" s="7">
        <v>0</v>
      </c>
      <c r="U16" s="10"/>
      <c r="V16" s="7">
        <v>0</v>
      </c>
      <c r="W16" s="10"/>
      <c r="X16" s="7">
        <v>0</v>
      </c>
      <c r="Y16" s="10"/>
      <c r="Z16" s="7">
        <v>0</v>
      </c>
      <c r="AA16" s="10"/>
      <c r="AB16" s="7">
        <v>0</v>
      </c>
      <c r="AC16" s="10"/>
      <c r="AD16" s="7">
        <v>0</v>
      </c>
      <c r="AE16" s="10"/>
      <c r="AF16" s="7">
        <v>0</v>
      </c>
      <c r="AG16" s="10"/>
      <c r="AH16" s="7">
        <v>0</v>
      </c>
      <c r="AI16" s="10"/>
      <c r="AJ16" s="7">
        <v>0</v>
      </c>
      <c r="AK16" s="10"/>
      <c r="AL16" s="7">
        <v>0</v>
      </c>
      <c r="AM16" s="10"/>
      <c r="AN16" s="7">
        <v>0</v>
      </c>
      <c r="AO16" s="10"/>
      <c r="AP16" s="7">
        <v>0</v>
      </c>
      <c r="AQ16" s="7"/>
      <c r="AR16" s="7">
        <v>0</v>
      </c>
      <c r="AS16" s="10"/>
      <c r="AT16" s="7">
        <v>0</v>
      </c>
      <c r="AU16" s="10"/>
      <c r="AV16" s="7">
        <v>0</v>
      </c>
      <c r="AW16" s="10"/>
      <c r="AX16" s="7">
        <v>0</v>
      </c>
      <c r="AY16" s="10"/>
      <c r="AZ16" s="7">
        <v>0</v>
      </c>
      <c r="BA16" s="10"/>
      <c r="BB16" s="7">
        <v>0</v>
      </c>
      <c r="BC16" s="10"/>
      <c r="BD16" s="7">
        <v>0</v>
      </c>
      <c r="BE16" s="10"/>
      <c r="BF16" s="7">
        <v>0</v>
      </c>
      <c r="BG16" s="10"/>
      <c r="BH16" s="7">
        <v>0</v>
      </c>
      <c r="BI16" s="10"/>
      <c r="BJ16" s="7">
        <v>0</v>
      </c>
      <c r="BK16" s="10"/>
      <c r="BL16" s="7">
        <v>0</v>
      </c>
      <c r="BM16" s="10"/>
      <c r="BN16" s="7">
        <v>0</v>
      </c>
      <c r="BO16" s="10"/>
      <c r="BP16" s="7">
        <v>0</v>
      </c>
      <c r="BQ16" s="10"/>
      <c r="BR16" s="7">
        <v>0</v>
      </c>
      <c r="BS16" s="10"/>
      <c r="BT16" s="7">
        <v>0</v>
      </c>
      <c r="BU16" s="10"/>
      <c r="BV16" s="7">
        <v>0</v>
      </c>
      <c r="BW16" s="10"/>
      <c r="BX16" s="7">
        <v>0</v>
      </c>
      <c r="BY16" s="10"/>
      <c r="BZ16" s="7">
        <v>0</v>
      </c>
      <c r="CA16" s="10"/>
      <c r="CB16" s="7">
        <v>0</v>
      </c>
      <c r="CC16" s="10"/>
      <c r="CD16" s="7">
        <v>0</v>
      </c>
      <c r="CE16" s="10"/>
      <c r="CF16" s="7">
        <v>0</v>
      </c>
      <c r="CG16" s="10"/>
      <c r="CH16" s="7">
        <v>0</v>
      </c>
      <c r="CI16" s="10"/>
      <c r="CJ16" s="7">
        <v>0</v>
      </c>
      <c r="CK16" s="10"/>
      <c r="CL16" s="7">
        <v>0</v>
      </c>
      <c r="CM16" s="10"/>
      <c r="CN16" s="7">
        <v>0</v>
      </c>
      <c r="CO16" s="10"/>
      <c r="CP16" s="7">
        <v>0</v>
      </c>
      <c r="CQ16" s="6"/>
      <c r="CR16" s="7">
        <v>0</v>
      </c>
      <c r="CS16" s="10"/>
      <c r="CT16" s="7">
        <v>0</v>
      </c>
      <c r="CU16" s="10"/>
      <c r="CV16" s="7">
        <v>0</v>
      </c>
      <c r="CW16" s="6"/>
      <c r="CX16" s="7">
        <v>0</v>
      </c>
      <c r="CY16" s="6"/>
      <c r="CZ16" s="7">
        <v>0</v>
      </c>
      <c r="DA16" s="8"/>
      <c r="DB16" s="7">
        <v>0</v>
      </c>
      <c r="DC16" s="10"/>
    </row>
    <row r="17" spans="2:107">
      <c r="B17" s="8" t="s">
        <v>290</v>
      </c>
      <c r="C17" s="10"/>
      <c r="D17" s="7"/>
      <c r="E17" s="10"/>
      <c r="F17" s="7"/>
      <c r="G17" s="10"/>
      <c r="H17" s="7"/>
      <c r="I17" s="10"/>
      <c r="J17" s="7">
        <v>0</v>
      </c>
      <c r="K17" s="10"/>
      <c r="L17" s="7">
        <v>0</v>
      </c>
      <c r="M17" s="10"/>
      <c r="N17" s="7">
        <v>0</v>
      </c>
      <c r="O17" s="10"/>
      <c r="P17" s="7">
        <v>0</v>
      </c>
      <c r="Q17" s="10"/>
      <c r="R17" s="7">
        <v>0</v>
      </c>
      <c r="S17" s="10"/>
      <c r="T17" s="7">
        <v>0</v>
      </c>
      <c r="U17" s="10"/>
      <c r="V17" s="7">
        <v>0</v>
      </c>
      <c r="W17" s="10"/>
      <c r="X17" s="7">
        <v>0</v>
      </c>
      <c r="Y17" s="10"/>
      <c r="Z17" s="7">
        <v>0</v>
      </c>
      <c r="AA17" s="10"/>
      <c r="AB17" s="7">
        <v>0</v>
      </c>
      <c r="AC17" s="10"/>
      <c r="AD17" s="7">
        <v>0</v>
      </c>
      <c r="AE17" s="10"/>
      <c r="AF17" s="7">
        <v>0</v>
      </c>
      <c r="AG17" s="10"/>
      <c r="AH17" s="7">
        <v>0</v>
      </c>
      <c r="AI17" s="10"/>
      <c r="AJ17" s="7">
        <v>3128700.58</v>
      </c>
      <c r="AK17" s="10"/>
      <c r="AL17" s="7">
        <v>3257013.7</v>
      </c>
      <c r="AM17" s="10"/>
      <c r="AN17" s="7">
        <v>3511991.7</v>
      </c>
      <c r="AO17" s="10"/>
      <c r="AP17" s="7">
        <v>3847828.6</v>
      </c>
      <c r="AQ17" s="7"/>
      <c r="AR17" s="7">
        <v>4015905</v>
      </c>
      <c r="AS17" s="10"/>
      <c r="AT17" s="7"/>
      <c r="AU17" s="10"/>
      <c r="AV17" s="7"/>
      <c r="AW17" s="10"/>
      <c r="AX17" s="7"/>
      <c r="AY17" s="10"/>
      <c r="AZ17" s="7"/>
      <c r="BA17" s="10"/>
      <c r="BB17" s="7"/>
      <c r="BC17" s="10"/>
      <c r="BD17" s="7"/>
      <c r="BE17" s="10"/>
      <c r="BF17" s="7"/>
      <c r="BG17" s="10"/>
      <c r="BH17" s="7"/>
      <c r="BI17" s="10"/>
      <c r="BJ17" s="7"/>
      <c r="BK17" s="10"/>
      <c r="BL17" s="7"/>
      <c r="BM17" s="10"/>
      <c r="BN17" s="7"/>
      <c r="BO17" s="10"/>
      <c r="BP17" s="7"/>
      <c r="BQ17" s="10"/>
      <c r="BR17" s="7"/>
      <c r="BS17" s="10"/>
      <c r="BT17" s="7"/>
      <c r="BU17" s="10"/>
      <c r="BV17" s="7"/>
      <c r="BW17" s="10"/>
      <c r="BX17" s="7"/>
      <c r="BY17" s="10"/>
      <c r="BZ17" s="7"/>
      <c r="CA17" s="10"/>
      <c r="CB17" s="7"/>
      <c r="CC17" s="10"/>
      <c r="CD17" s="7"/>
      <c r="CE17" s="10"/>
      <c r="CF17" s="7"/>
      <c r="CG17" s="10"/>
      <c r="CH17" s="7"/>
      <c r="CI17" s="10"/>
      <c r="CJ17" s="7"/>
      <c r="CK17" s="10"/>
      <c r="CL17" s="7"/>
      <c r="CM17" s="10"/>
      <c r="CN17" s="7"/>
      <c r="CO17" s="10"/>
      <c r="CP17" s="7"/>
      <c r="CQ17" s="6"/>
      <c r="CR17" s="7"/>
      <c r="CS17" s="10"/>
      <c r="CT17" s="7"/>
      <c r="CU17" s="10"/>
      <c r="CV17" s="7"/>
      <c r="CW17" s="6"/>
      <c r="CX17" s="7"/>
      <c r="CY17" s="6"/>
      <c r="CZ17" s="7"/>
      <c r="DA17" s="8"/>
      <c r="DB17" s="7"/>
      <c r="DC17" s="10"/>
    </row>
    <row r="18" spans="2:107">
      <c r="B18" s="9" t="s">
        <v>19</v>
      </c>
      <c r="C18" s="9"/>
      <c r="D18" s="7"/>
      <c r="E18" s="9"/>
      <c r="F18" s="7"/>
      <c r="G18" s="9"/>
      <c r="H18" s="7"/>
      <c r="I18" s="9"/>
      <c r="J18" s="7">
        <v>31380126.356695712</v>
      </c>
      <c r="K18" s="9"/>
      <c r="L18" s="7">
        <v>28452580.215250969</v>
      </c>
      <c r="M18" s="9"/>
      <c r="N18" s="7">
        <v>26955695.726403095</v>
      </c>
      <c r="O18" s="9"/>
      <c r="P18" s="7">
        <v>23801076.170381073</v>
      </c>
      <c r="Q18" s="9"/>
      <c r="R18" s="7">
        <v>23204323.593250919</v>
      </c>
      <c r="S18" s="9"/>
      <c r="T18" s="7">
        <v>18213336.470717411</v>
      </c>
      <c r="U18" s="9"/>
      <c r="V18" s="7">
        <v>15663099.307693865</v>
      </c>
      <c r="W18" s="9"/>
      <c r="X18" s="7">
        <v>13611154.121685077</v>
      </c>
      <c r="Y18" s="9"/>
      <c r="Z18" s="7">
        <v>13470752.214885578</v>
      </c>
      <c r="AA18" s="9"/>
      <c r="AB18" s="7">
        <v>13614214.982626827</v>
      </c>
      <c r="AC18" s="9"/>
      <c r="AD18" s="7">
        <v>12378220.603532098</v>
      </c>
      <c r="AE18" s="9"/>
      <c r="AF18" s="7">
        <v>12888372.208631715</v>
      </c>
      <c r="AG18" s="9"/>
      <c r="AH18" s="7">
        <v>8171831.0907039894</v>
      </c>
      <c r="AI18" s="9"/>
      <c r="AJ18" s="7">
        <v>8082900.9600999989</v>
      </c>
      <c r="AK18" s="9"/>
      <c r="AL18" s="7">
        <v>7903750.4399999976</v>
      </c>
      <c r="AM18" s="9"/>
      <c r="AN18" s="7">
        <v>8178184.8388255537</v>
      </c>
      <c r="AO18" s="9"/>
      <c r="AP18" s="7">
        <v>8156074.25</v>
      </c>
      <c r="AQ18" s="7"/>
      <c r="AR18" s="7">
        <v>8001689.0699999984</v>
      </c>
      <c r="AS18" s="9"/>
      <c r="AT18" s="7">
        <v>7484773.4600000009</v>
      </c>
      <c r="AU18" s="9"/>
      <c r="AV18" s="7">
        <v>7765948.7900000019</v>
      </c>
      <c r="AW18" s="9"/>
      <c r="AX18" s="7">
        <v>7951500.7299999986</v>
      </c>
      <c r="AY18" s="9"/>
      <c r="AZ18" s="7">
        <v>8240530.6114215292</v>
      </c>
      <c r="BA18" s="9"/>
      <c r="BB18" s="7">
        <v>6359094.9200000009</v>
      </c>
      <c r="BC18" s="9"/>
      <c r="BD18" s="7">
        <v>6233828.8108753469</v>
      </c>
      <c r="BE18" s="9"/>
      <c r="BF18" s="7">
        <v>6628976.2903753463</v>
      </c>
      <c r="BG18" s="9"/>
      <c r="BH18" s="7">
        <v>5867308.6256637406</v>
      </c>
      <c r="BI18" s="9"/>
      <c r="BJ18" s="7">
        <v>4745402.8391387407</v>
      </c>
      <c r="BK18" s="9"/>
      <c r="BL18" s="7">
        <v>1600278.0182</v>
      </c>
      <c r="BM18" s="9"/>
      <c r="BN18" s="7">
        <v>1141948.228160406</v>
      </c>
      <c r="BO18" s="9"/>
      <c r="BP18" s="7">
        <v>1840569.6871999998</v>
      </c>
      <c r="BQ18" s="9"/>
      <c r="BR18" s="7">
        <v>1684184.9695000001</v>
      </c>
      <c r="BS18" s="9"/>
      <c r="BT18" s="7">
        <v>948629.94000000006</v>
      </c>
      <c r="BU18" s="9"/>
      <c r="BV18" s="7">
        <v>1412642.1099999999</v>
      </c>
      <c r="BW18" s="9"/>
      <c r="BX18" s="7">
        <v>1091628.83</v>
      </c>
      <c r="BY18" s="9"/>
      <c r="BZ18" s="7">
        <v>1016092.3700000001</v>
      </c>
      <c r="CA18" s="9"/>
      <c r="CB18" s="7">
        <v>1645848.69</v>
      </c>
      <c r="CC18" s="9"/>
      <c r="CD18" s="7">
        <v>1718614.02</v>
      </c>
      <c r="CE18" s="9"/>
      <c r="CF18" s="7">
        <v>248208.53</v>
      </c>
      <c r="CG18" s="9"/>
      <c r="CH18" s="7">
        <v>0</v>
      </c>
      <c r="CI18" s="9"/>
      <c r="CJ18" s="7">
        <v>3843.8399999999965</v>
      </c>
      <c r="CK18" s="9"/>
      <c r="CL18" s="7">
        <v>123939.09</v>
      </c>
      <c r="CM18" s="9"/>
      <c r="CN18" s="7">
        <v>892167.6176</v>
      </c>
      <c r="CO18" s="9"/>
      <c r="CP18" s="7">
        <v>1107800.8699999999</v>
      </c>
      <c r="CQ18" s="6"/>
      <c r="CR18" s="7">
        <v>885670.63368045236</v>
      </c>
      <c r="CS18" s="9"/>
      <c r="CT18" s="7">
        <v>1046294.3740091634</v>
      </c>
      <c r="CU18" s="9"/>
      <c r="CV18" s="7">
        <v>986895.26</v>
      </c>
      <c r="CW18" s="6"/>
      <c r="CX18" s="7">
        <v>887236.94179999991</v>
      </c>
      <c r="CY18" s="6"/>
      <c r="CZ18" s="7">
        <v>924225.76948774722</v>
      </c>
      <c r="DA18" s="8"/>
      <c r="DB18" s="7">
        <v>541919.43900258839</v>
      </c>
      <c r="DC18" s="9"/>
    </row>
    <row r="19" spans="2:107">
      <c r="B19" s="8" t="s">
        <v>20</v>
      </c>
      <c r="C19" s="8"/>
      <c r="D19" s="7"/>
      <c r="E19" s="8"/>
      <c r="F19" s="7"/>
      <c r="G19" s="8"/>
      <c r="H19" s="7"/>
      <c r="I19" s="8"/>
      <c r="J19" s="7">
        <v>84351.84</v>
      </c>
      <c r="K19" s="8"/>
      <c r="L19" s="7">
        <v>103294.39</v>
      </c>
      <c r="M19" s="8"/>
      <c r="N19" s="7">
        <v>121267.72</v>
      </c>
      <c r="O19" s="8"/>
      <c r="P19" s="7">
        <v>109426.92</v>
      </c>
      <c r="Q19" s="8"/>
      <c r="R19" s="7">
        <v>108020.5</v>
      </c>
      <c r="S19" s="8"/>
      <c r="T19" s="7">
        <v>95694.150000000009</v>
      </c>
      <c r="U19" s="8"/>
      <c r="V19" s="7">
        <v>703328.98</v>
      </c>
      <c r="W19" s="8"/>
      <c r="X19" s="7">
        <v>104300.3</v>
      </c>
      <c r="Y19" s="8"/>
      <c r="Z19" s="7">
        <v>113095.72</v>
      </c>
      <c r="AA19" s="8"/>
      <c r="AB19" s="7">
        <v>123134.14999999989</v>
      </c>
      <c r="AC19" s="8"/>
      <c r="AD19" s="7">
        <v>131571.16999999998</v>
      </c>
      <c r="AE19" s="8"/>
      <c r="AF19" s="7">
        <v>142242.9</v>
      </c>
      <c r="AG19" s="8"/>
      <c r="AH19" s="7">
        <v>34074.35</v>
      </c>
      <c r="AI19" s="8"/>
      <c r="AJ19" s="7">
        <v>37281.18</v>
      </c>
      <c r="AK19" s="8"/>
      <c r="AL19" s="7">
        <v>40658.43</v>
      </c>
      <c r="AM19" s="8"/>
      <c r="AN19" s="7">
        <v>36712.18</v>
      </c>
      <c r="AO19" s="8"/>
      <c r="AP19" s="7">
        <v>38504.080000000002</v>
      </c>
      <c r="AQ19" s="7"/>
      <c r="AR19" s="7">
        <v>40295.980000000003</v>
      </c>
      <c r="AS19" s="8"/>
      <c r="AT19" s="7">
        <v>42895.44</v>
      </c>
      <c r="AU19" s="8"/>
      <c r="AV19" s="7">
        <v>44465.57</v>
      </c>
      <c r="AW19" s="8"/>
      <c r="AX19" s="7">
        <v>46089.71</v>
      </c>
      <c r="AY19" s="8"/>
      <c r="AZ19" s="7">
        <v>17677.05</v>
      </c>
      <c r="BA19" s="8"/>
      <c r="BB19" s="7">
        <v>15883.23</v>
      </c>
      <c r="BC19" s="8"/>
      <c r="BD19" s="7">
        <v>16878.41</v>
      </c>
      <c r="BE19" s="8"/>
      <c r="BF19" s="7">
        <v>20634.96</v>
      </c>
      <c r="BG19" s="8"/>
      <c r="BH19" s="7">
        <v>21112.78</v>
      </c>
      <c r="BI19" s="8"/>
      <c r="BJ19" s="7">
        <v>1432.48</v>
      </c>
      <c r="BK19" s="8"/>
      <c r="BL19" s="7">
        <v>0</v>
      </c>
      <c r="BM19" s="8"/>
      <c r="BN19" s="7">
        <v>0</v>
      </c>
      <c r="BO19" s="8"/>
      <c r="BP19" s="7">
        <v>0</v>
      </c>
      <c r="BQ19" s="8"/>
      <c r="BR19" s="7">
        <v>0</v>
      </c>
      <c r="BS19" s="8"/>
      <c r="BT19" s="7">
        <v>553.41999999999996</v>
      </c>
      <c r="BU19" s="8"/>
      <c r="BV19" s="7">
        <v>553.41999999999996</v>
      </c>
      <c r="BW19" s="8"/>
      <c r="BX19" s="7">
        <v>8268.119999999999</v>
      </c>
      <c r="BY19" s="8"/>
      <c r="BZ19" s="7">
        <v>30859.89</v>
      </c>
      <c r="CA19" s="8"/>
      <c r="CB19" s="7">
        <v>52463.859999999993</v>
      </c>
      <c r="CC19" s="8"/>
      <c r="CD19" s="7">
        <v>76194.42</v>
      </c>
      <c r="CE19" s="8"/>
      <c r="CF19" s="7">
        <v>98511.679999999993</v>
      </c>
      <c r="CG19" s="8"/>
      <c r="CH19" s="7">
        <v>122365.56</v>
      </c>
      <c r="CI19" s="8"/>
      <c r="CJ19" s="7">
        <v>170290.63999999998</v>
      </c>
      <c r="CK19" s="8"/>
      <c r="CL19" s="7">
        <v>167377.85999999999</v>
      </c>
      <c r="CM19" s="8"/>
      <c r="CN19" s="7">
        <v>162702.36000000034</v>
      </c>
      <c r="CO19" s="8"/>
      <c r="CP19" s="7">
        <v>162702.35999999987</v>
      </c>
      <c r="CQ19" s="6"/>
      <c r="CR19" s="7">
        <v>162702.35999999987</v>
      </c>
      <c r="CS19" s="8"/>
      <c r="CT19" s="7">
        <v>251762.45999999996</v>
      </c>
      <c r="CU19" s="8"/>
      <c r="CV19" s="7">
        <v>297214.45</v>
      </c>
      <c r="CW19" s="6"/>
      <c r="CX19" s="7">
        <v>130562.4</v>
      </c>
      <c r="CY19" s="6"/>
      <c r="CZ19" s="7">
        <v>181.7000000000001</v>
      </c>
      <c r="DA19" s="8"/>
      <c r="DB19" s="7">
        <v>15.74</v>
      </c>
      <c r="DC19" s="8"/>
    </row>
    <row r="20" spans="2:107">
      <c r="B20" s="8"/>
      <c r="C20" s="8"/>
      <c r="D20" s="7"/>
      <c r="E20" s="8"/>
      <c r="F20" s="7"/>
      <c r="G20" s="8"/>
      <c r="H20" s="7"/>
      <c r="I20" s="8"/>
      <c r="J20" s="7"/>
      <c r="K20" s="8"/>
      <c r="L20" s="7"/>
      <c r="M20" s="8"/>
      <c r="N20" s="7"/>
      <c r="O20" s="8"/>
      <c r="P20" s="7"/>
      <c r="Q20" s="8"/>
      <c r="R20" s="7"/>
      <c r="S20" s="8"/>
      <c r="T20" s="7"/>
      <c r="U20" s="8"/>
      <c r="V20" s="7"/>
      <c r="W20" s="8"/>
      <c r="X20" s="7"/>
      <c r="Y20" s="8"/>
      <c r="Z20" s="7"/>
      <c r="AA20" s="8"/>
      <c r="AB20" s="7"/>
      <c r="AC20" s="8"/>
      <c r="AD20" s="7"/>
      <c r="AE20" s="8"/>
      <c r="AF20" s="7"/>
      <c r="AG20" s="8"/>
      <c r="AH20" s="7"/>
      <c r="AI20" s="8"/>
      <c r="AJ20" s="7"/>
      <c r="AK20" s="8"/>
      <c r="AL20" s="7"/>
      <c r="AM20" s="8"/>
      <c r="AN20" s="7"/>
      <c r="AO20" s="8"/>
      <c r="AP20" s="7"/>
      <c r="AQ20" s="7"/>
      <c r="AR20" s="7"/>
      <c r="AS20" s="8"/>
      <c r="AT20" s="7"/>
      <c r="AU20" s="8"/>
      <c r="AV20" s="7"/>
      <c r="AW20" s="8"/>
      <c r="AX20" s="7"/>
      <c r="AY20" s="8"/>
      <c r="AZ20" s="7"/>
      <c r="BA20" s="8"/>
      <c r="BB20" s="7"/>
      <c r="BC20" s="8"/>
      <c r="BD20" s="7"/>
      <c r="BE20" s="8"/>
      <c r="BF20" s="7"/>
      <c r="BG20" s="8"/>
      <c r="BH20" s="7"/>
      <c r="BI20" s="8"/>
      <c r="BJ20" s="7">
        <v>0</v>
      </c>
      <c r="BK20" s="8"/>
      <c r="BL20" s="7">
        <v>0</v>
      </c>
      <c r="BM20" s="8"/>
      <c r="BN20" s="7"/>
      <c r="BO20" s="8"/>
      <c r="BP20" s="7"/>
      <c r="BQ20" s="8"/>
      <c r="BR20" s="7"/>
      <c r="BS20" s="8"/>
      <c r="BT20" s="7"/>
      <c r="BU20" s="8"/>
      <c r="BV20" s="7"/>
      <c r="BW20" s="8"/>
      <c r="BX20" s="7"/>
      <c r="BY20" s="8"/>
      <c r="BZ20" s="7"/>
      <c r="CA20" s="8"/>
      <c r="CB20" s="7"/>
      <c r="CC20" s="8"/>
      <c r="CD20" s="7"/>
      <c r="CE20" s="8"/>
      <c r="CF20" s="7"/>
      <c r="CG20" s="8"/>
      <c r="CH20" s="7"/>
      <c r="CI20" s="8"/>
      <c r="CJ20" s="7"/>
      <c r="CK20" s="8"/>
      <c r="CL20" s="7"/>
      <c r="CM20" s="8"/>
      <c r="CN20" s="7"/>
      <c r="CO20" s="8"/>
      <c r="CP20" s="7"/>
      <c r="CQ20" s="8"/>
      <c r="CR20" s="7"/>
      <c r="CS20" s="8"/>
      <c r="CT20" s="7"/>
      <c r="CU20" s="8"/>
      <c r="CV20" s="7"/>
      <c r="CW20" s="8"/>
      <c r="CX20" s="7"/>
      <c r="CY20" s="8"/>
      <c r="CZ20" s="7"/>
      <c r="DA20" s="8"/>
      <c r="DB20" s="7"/>
      <c r="DC20" s="8"/>
    </row>
    <row r="21" spans="2:107">
      <c r="B21" s="6" t="s">
        <v>21</v>
      </c>
      <c r="C21" s="6"/>
      <c r="D21" s="11"/>
      <c r="E21" s="6"/>
      <c r="F21" s="11"/>
      <c r="G21" s="6"/>
      <c r="H21" s="11"/>
      <c r="I21" s="6"/>
      <c r="J21" s="11">
        <f>SUM(J6:J19)</f>
        <v>165888976.81419888</v>
      </c>
      <c r="K21" s="6"/>
      <c r="L21" s="11">
        <f>SUM(L6:L19)</f>
        <v>162972822.50558102</v>
      </c>
      <c r="M21" s="6"/>
      <c r="N21" s="11">
        <f>SUM(N6:N19)</f>
        <v>147627744.05938864</v>
      </c>
      <c r="O21" s="6"/>
      <c r="P21" s="11">
        <f>SUM(P6:P19)</f>
        <v>142968153.53827628</v>
      </c>
      <c r="Q21" s="6"/>
      <c r="R21" s="11">
        <f>SUM(R6:R19)</f>
        <v>138258740.16963646</v>
      </c>
      <c r="S21" s="6"/>
      <c r="T21" s="11">
        <f>SUM(T6:T19)</f>
        <v>131291003.80333687</v>
      </c>
      <c r="U21" s="6"/>
      <c r="V21" s="11">
        <f>SUM(V6:V19)</f>
        <v>130848765.62761834</v>
      </c>
      <c r="W21" s="6"/>
      <c r="X21" s="11">
        <f>SUM(X6:X19)</f>
        <v>123589012.03062557</v>
      </c>
      <c r="Y21" s="6"/>
      <c r="Z21" s="11">
        <f>SUM(Z6:Z19)</f>
        <v>127108819.28115414</v>
      </c>
      <c r="AA21" s="6"/>
      <c r="AB21" s="11">
        <f>SUM(AB6:AB19)</f>
        <v>126727126.91777685</v>
      </c>
      <c r="AC21" s="6"/>
      <c r="AD21" s="11">
        <f>SUM(AD6:AD19)</f>
        <v>125603068.42853983</v>
      </c>
      <c r="AE21" s="6"/>
      <c r="AF21" s="11">
        <f>SUM(AF6:AF19)</f>
        <v>123791557.20699555</v>
      </c>
      <c r="AG21" s="6"/>
      <c r="AH21" s="11">
        <f>SUM(AH6:AH19)</f>
        <v>92414057.857269362</v>
      </c>
      <c r="AI21" s="6"/>
      <c r="AJ21" s="11">
        <f>SUM(AJ6:AJ19)</f>
        <v>95741762.192266658</v>
      </c>
      <c r="AK21" s="6"/>
      <c r="AL21" s="11">
        <f>SUM(AL6:AL19)</f>
        <v>90769473.658635542</v>
      </c>
      <c r="AM21" s="6"/>
      <c r="AN21" s="11">
        <f>SUM(AN6:AN19)</f>
        <v>92103252.224394947</v>
      </c>
      <c r="AO21" s="6"/>
      <c r="AP21" s="11">
        <f>SUM(AP6:AP19)</f>
        <v>92820754.039056778</v>
      </c>
      <c r="AQ21" s="11"/>
      <c r="AR21" s="11">
        <f>SUM(AR6:AR19)</f>
        <v>92903866.28485778</v>
      </c>
      <c r="AS21" s="6"/>
      <c r="AT21" s="11">
        <f>SUM(AT6:AT19)</f>
        <v>88833156.583393157</v>
      </c>
      <c r="AU21" s="6"/>
      <c r="AV21" s="11">
        <f>SUM(AV6:AV12,AV18:AV19)</f>
        <v>89526553.119481221</v>
      </c>
      <c r="AW21" s="6"/>
      <c r="AX21" s="11">
        <f>SUM(AX6:AX12,AX18:AX19)</f>
        <v>89334958.840346664</v>
      </c>
      <c r="AY21" s="6"/>
      <c r="AZ21" s="11">
        <f>SUM(AZ6:AZ12,AZ18:AZ19)</f>
        <v>85319703.38358818</v>
      </c>
      <c r="BA21" s="6"/>
      <c r="BB21" s="11">
        <f>SUM(BB6:BB12,BB18:BB19)</f>
        <v>83126837.742166668</v>
      </c>
      <c r="BC21" s="6"/>
      <c r="BD21" s="11">
        <f>SUM(BD6:BD12,BD18:BD19)</f>
        <v>81655498.828042001</v>
      </c>
      <c r="BE21" s="6"/>
      <c r="BF21" s="11">
        <f>SUM(BF6:BF12,BF18:BF19)</f>
        <v>80223311.297542006</v>
      </c>
      <c r="BG21" s="6"/>
      <c r="BH21" s="11">
        <f>SUM(BH6:BH12,BH18:BH19)</f>
        <v>79989818.739715397</v>
      </c>
      <c r="BI21" s="6"/>
      <c r="BJ21" s="11">
        <f>SUM(BJ6:BJ12,BJ18:BJ19)</f>
        <v>99758396.94884707</v>
      </c>
      <c r="BK21" s="6"/>
      <c r="BL21" s="11">
        <f>SUM(BL6:BL12,BL18:BL19)</f>
        <v>95526041.731033325</v>
      </c>
      <c r="BM21" s="6"/>
      <c r="BN21" s="11">
        <f>SUM(BN6:BN12,BN18:BN19)</f>
        <v>72318849.218368739</v>
      </c>
      <c r="BO21" s="6"/>
      <c r="BP21" s="11">
        <f>SUM(BP6:BP12,BP18:BP19)</f>
        <v>71609881.123283312</v>
      </c>
      <c r="BQ21" s="6"/>
      <c r="BR21" s="11">
        <f>SUM(BR6:BR12,BR18:BR19)</f>
        <v>69838830.829500005</v>
      </c>
      <c r="BS21" s="6"/>
      <c r="BT21" s="11">
        <f>SUM(BT6:BT12,BT18:BT19)</f>
        <v>68327674.340000004</v>
      </c>
      <c r="BU21" s="6"/>
      <c r="BV21" s="11">
        <f>SUM(BV6:BV12,BV18:BV19)</f>
        <v>66518814.855000012</v>
      </c>
      <c r="BW21" s="6"/>
      <c r="BX21" s="11">
        <f>SUM(BX6:BX12,BX18:BX19)</f>
        <v>64603241.079999991</v>
      </c>
      <c r="BY21" s="6"/>
      <c r="BZ21" s="11">
        <f>SUM(BZ6:BZ12,BZ18:BZ19)</f>
        <v>64092122.509999998</v>
      </c>
      <c r="CA21" s="6"/>
      <c r="CB21" s="11">
        <f>SUM(CB6:CB12,CB18:CB19)</f>
        <v>63932885.349999994</v>
      </c>
      <c r="CC21" s="6"/>
      <c r="CD21" s="11">
        <f>SUM(CD6:CD12,CD18:CD19)</f>
        <v>62125376.145000003</v>
      </c>
      <c r="CE21" s="6"/>
      <c r="CF21" s="11">
        <f>SUM(CF6:CF12,CF18:CF19)</f>
        <v>59213565.870000005</v>
      </c>
      <c r="CG21" s="6"/>
      <c r="CH21" s="11">
        <f>SUM(CH6:CH12,CH18:CH19)</f>
        <v>58106697.120000005</v>
      </c>
      <c r="CI21" s="6"/>
      <c r="CJ21" s="11">
        <f>SUM(CJ6:CJ12,CJ18:CJ19)</f>
        <v>56310439.710000008</v>
      </c>
      <c r="CK21" s="6"/>
      <c r="CL21" s="11">
        <f>SUM(CL6:CL12,CL18:CL19)</f>
        <v>53373674.100000001</v>
      </c>
      <c r="CM21" s="6"/>
      <c r="CN21" s="11">
        <f>SUM(CN6:CN12,CN18:CN19)</f>
        <v>50750949.892215624</v>
      </c>
      <c r="CO21" s="6"/>
      <c r="CP21" s="11">
        <f>SUM(CP6:CP12,CP18:CP19)</f>
        <v>50074396.218148723</v>
      </c>
      <c r="CQ21" s="8"/>
      <c r="CR21" s="11">
        <f>SUM(CR6:CR12,CR18:CR19)</f>
        <v>49641250.345362276</v>
      </c>
      <c r="CS21" s="6"/>
      <c r="CT21" s="11">
        <f>SUM(CT6:CT12,CT18:CT19)</f>
        <v>43798964.149224088</v>
      </c>
      <c r="CU21" s="6"/>
      <c r="CV21" s="11">
        <f>SUM(CV6:CV12,CV18:CV19)</f>
        <v>39062504.33874803</v>
      </c>
      <c r="CW21" s="8"/>
      <c r="CX21" s="11">
        <f>SUM(CX6:CX12,CX18:CX19)</f>
        <v>27596026.824081134</v>
      </c>
      <c r="CY21" s="8"/>
      <c r="CZ21" s="11">
        <f>SUM(CZ6:CZ12,CZ18:CZ19)</f>
        <v>22529097.649487745</v>
      </c>
      <c r="DA21" s="6"/>
      <c r="DB21" s="11">
        <f>SUM(DB6:DB12,DB18:DB19)</f>
        <v>22324163.239002585</v>
      </c>
      <c r="DC21" s="6"/>
    </row>
    <row r="22" spans="2:107">
      <c r="B22" s="6"/>
      <c r="C22" s="6"/>
      <c r="D22" s="7"/>
      <c r="E22" s="6"/>
      <c r="F22" s="7"/>
      <c r="G22" s="6"/>
      <c r="H22" s="7"/>
      <c r="I22" s="6"/>
      <c r="J22" s="7"/>
      <c r="K22" s="6"/>
      <c r="L22" s="7"/>
      <c r="M22" s="6"/>
      <c r="N22" s="7"/>
      <c r="O22" s="6"/>
      <c r="P22" s="7"/>
      <c r="Q22" s="6"/>
      <c r="R22" s="7"/>
      <c r="S22" s="6"/>
      <c r="T22" s="7"/>
      <c r="U22" s="6"/>
      <c r="V22" s="7"/>
      <c r="W22" s="6"/>
      <c r="X22" s="7"/>
      <c r="Y22" s="6"/>
      <c r="Z22" s="7"/>
      <c r="AA22" s="6"/>
      <c r="AB22" s="7"/>
      <c r="AC22" s="6"/>
      <c r="AD22" s="7"/>
      <c r="AE22" s="6"/>
      <c r="AF22" s="7"/>
      <c r="AG22" s="6"/>
      <c r="AH22" s="7"/>
      <c r="AI22" s="6"/>
      <c r="AJ22" s="7"/>
      <c r="AK22" s="6"/>
      <c r="AL22" s="7"/>
      <c r="AM22" s="6"/>
      <c r="AN22" s="7"/>
      <c r="AO22" s="6"/>
      <c r="AP22" s="7"/>
      <c r="AQ22" s="7"/>
      <c r="AR22" s="7"/>
      <c r="AS22" s="6"/>
      <c r="AT22" s="7"/>
      <c r="AU22" s="6"/>
      <c r="AV22" s="7"/>
      <c r="AW22" s="6"/>
      <c r="AX22" s="7"/>
      <c r="AY22" s="6"/>
      <c r="AZ22" s="7"/>
      <c r="BA22" s="6"/>
      <c r="BB22" s="7"/>
      <c r="BC22" s="6"/>
      <c r="BD22" s="7"/>
      <c r="BE22" s="6"/>
      <c r="BF22" s="7"/>
      <c r="BG22" s="6"/>
      <c r="BH22" s="7"/>
      <c r="BI22" s="6"/>
      <c r="BJ22" s="7"/>
      <c r="BK22" s="6"/>
      <c r="BL22" s="7"/>
      <c r="BM22" s="6"/>
      <c r="BN22" s="7"/>
      <c r="BO22" s="6"/>
      <c r="BP22" s="7"/>
      <c r="BQ22" s="6"/>
      <c r="BR22" s="7"/>
      <c r="BS22" s="6"/>
      <c r="BT22" s="7"/>
      <c r="BU22" s="6"/>
      <c r="BV22" s="7"/>
      <c r="BW22" s="6"/>
      <c r="BX22" s="7"/>
      <c r="BY22" s="6"/>
      <c r="BZ22" s="7"/>
      <c r="CA22" s="6"/>
      <c r="CB22" s="7"/>
      <c r="CC22" s="6"/>
      <c r="CD22" s="7"/>
      <c r="CE22" s="6"/>
      <c r="CF22" s="7"/>
      <c r="CG22" s="6"/>
      <c r="CH22" s="7"/>
      <c r="CI22" s="6"/>
      <c r="CJ22" s="7"/>
      <c r="CK22" s="6"/>
      <c r="CL22" s="7"/>
      <c r="CM22" s="6"/>
      <c r="CN22" s="7"/>
      <c r="CO22" s="6"/>
      <c r="CP22" s="7"/>
      <c r="CQ22" s="8"/>
      <c r="CR22" s="7"/>
      <c r="CS22" s="6"/>
      <c r="CT22" s="7"/>
      <c r="CU22" s="6"/>
      <c r="CV22" s="7"/>
      <c r="CW22" s="8"/>
      <c r="CX22" s="7"/>
      <c r="CY22" s="8"/>
      <c r="CZ22" s="7"/>
      <c r="DA22" s="6"/>
      <c r="DB22" s="7"/>
      <c r="DC22" s="6"/>
    </row>
    <row r="23" spans="2:107">
      <c r="B23" s="6" t="s">
        <v>22</v>
      </c>
      <c r="C23" s="6"/>
      <c r="D23" s="7"/>
      <c r="E23" s="6"/>
      <c r="F23" s="7"/>
      <c r="G23" s="6"/>
      <c r="H23" s="7"/>
      <c r="I23" s="6"/>
      <c r="J23" s="7"/>
      <c r="K23" s="6"/>
      <c r="L23" s="7"/>
      <c r="M23" s="6"/>
      <c r="N23" s="7"/>
      <c r="O23" s="6"/>
      <c r="P23" s="7"/>
      <c r="Q23" s="6"/>
      <c r="R23" s="7"/>
      <c r="S23" s="6"/>
      <c r="T23" s="7"/>
      <c r="U23" s="6"/>
      <c r="V23" s="7"/>
      <c r="W23" s="6"/>
      <c r="X23" s="7"/>
      <c r="Y23" s="6"/>
      <c r="Z23" s="7"/>
      <c r="AA23" s="6"/>
      <c r="AB23" s="7"/>
      <c r="AC23" s="6"/>
      <c r="AD23" s="7"/>
      <c r="AE23" s="6"/>
      <c r="AF23" s="7"/>
      <c r="AG23" s="6"/>
      <c r="AH23" s="7"/>
      <c r="AI23" s="6"/>
      <c r="AJ23" s="7"/>
      <c r="AK23" s="6"/>
      <c r="AL23" s="7"/>
      <c r="AM23" s="6"/>
      <c r="AN23" s="7"/>
      <c r="AO23" s="6"/>
      <c r="AP23" s="7"/>
      <c r="AQ23" s="7"/>
      <c r="AR23" s="7"/>
      <c r="AS23" s="6"/>
      <c r="AT23" s="7"/>
      <c r="AU23" s="6"/>
      <c r="AV23" s="7"/>
      <c r="AW23" s="6"/>
      <c r="AX23" s="7"/>
      <c r="AY23" s="6"/>
      <c r="AZ23" s="7"/>
      <c r="BA23" s="6"/>
      <c r="BB23" s="7"/>
      <c r="BC23" s="6"/>
      <c r="BD23" s="7"/>
      <c r="BE23" s="6"/>
      <c r="BF23" s="7"/>
      <c r="BG23" s="6"/>
      <c r="BH23" s="7"/>
      <c r="BI23" s="6"/>
      <c r="BJ23" s="7"/>
      <c r="BK23" s="6"/>
      <c r="BL23" s="7"/>
      <c r="BM23" s="6"/>
      <c r="BN23" s="7"/>
      <c r="BO23" s="6"/>
      <c r="BP23" s="7"/>
      <c r="BQ23" s="6"/>
      <c r="BR23" s="7"/>
      <c r="BS23" s="6"/>
      <c r="BT23" s="7"/>
      <c r="BU23" s="6"/>
      <c r="BV23" s="7"/>
      <c r="BW23" s="6"/>
      <c r="BX23" s="7"/>
      <c r="BY23" s="6"/>
      <c r="BZ23" s="7"/>
      <c r="CA23" s="6"/>
      <c r="CB23" s="7"/>
      <c r="CC23" s="6"/>
      <c r="CD23" s="7"/>
      <c r="CE23" s="6"/>
      <c r="CF23" s="7"/>
      <c r="CG23" s="6"/>
      <c r="CH23" s="7"/>
      <c r="CI23" s="6"/>
      <c r="CJ23" s="7"/>
      <c r="CK23" s="6"/>
      <c r="CL23" s="7"/>
      <c r="CM23" s="6"/>
      <c r="CN23" s="7"/>
      <c r="CO23" s="6"/>
      <c r="CP23" s="7"/>
      <c r="CQ23" s="8"/>
      <c r="CR23" s="7"/>
      <c r="CS23" s="6"/>
      <c r="CT23" s="7"/>
      <c r="CU23" s="6"/>
      <c r="CV23" s="7"/>
      <c r="CW23" s="8"/>
      <c r="CX23" s="7"/>
      <c r="CY23" s="8"/>
      <c r="CZ23" s="7"/>
      <c r="DA23" s="6"/>
      <c r="DB23" s="7"/>
      <c r="DC23" s="6"/>
    </row>
    <row r="24" spans="2:107">
      <c r="B24" s="8" t="s">
        <v>23</v>
      </c>
      <c r="C24" s="8"/>
      <c r="D24" s="7"/>
      <c r="E24" s="8"/>
      <c r="F24" s="7"/>
      <c r="G24" s="8"/>
      <c r="H24" s="7"/>
      <c r="I24" s="8"/>
      <c r="J24" s="7">
        <v>40598944.689435996</v>
      </c>
      <c r="K24" s="8"/>
      <c r="L24" s="7">
        <v>12688705.923200004</v>
      </c>
      <c r="M24" s="8"/>
      <c r="N24" s="7">
        <v>27198786.380344003</v>
      </c>
      <c r="O24" s="8"/>
      <c r="P24" s="7">
        <v>31568287.976500005</v>
      </c>
      <c r="Q24" s="8"/>
      <c r="R24" s="7">
        <v>17636085.600549005</v>
      </c>
      <c r="S24" s="8"/>
      <c r="T24" s="7">
        <v>21273209.766334005</v>
      </c>
      <c r="U24" s="8"/>
      <c r="V24" s="7">
        <v>28334321.530624997</v>
      </c>
      <c r="W24" s="8"/>
      <c r="X24" s="7">
        <v>28530108.520869993</v>
      </c>
      <c r="Y24" s="8"/>
      <c r="Z24" s="7">
        <v>14510211.92901</v>
      </c>
      <c r="AA24" s="8"/>
      <c r="AB24" s="7">
        <v>48280439.050059997</v>
      </c>
      <c r="AC24" s="8"/>
      <c r="AD24" s="7">
        <v>28773985.175023999</v>
      </c>
      <c r="AE24" s="8"/>
      <c r="AF24" s="7">
        <v>17080967.973887</v>
      </c>
      <c r="AG24" s="8"/>
      <c r="AH24" s="7">
        <v>16242436.75</v>
      </c>
      <c r="AI24" s="8"/>
      <c r="AJ24" s="7">
        <v>2838851.31</v>
      </c>
      <c r="AK24" s="8"/>
      <c r="AL24" s="7">
        <v>10859318.300000001</v>
      </c>
      <c r="AM24" s="8"/>
      <c r="AN24" s="7">
        <v>3120079.6399999997</v>
      </c>
      <c r="AO24" s="8"/>
      <c r="AP24" s="7">
        <v>6480496.1899999995</v>
      </c>
      <c r="AQ24" s="7"/>
      <c r="AR24" s="7">
        <v>6034295.8599999994</v>
      </c>
      <c r="AS24" s="8"/>
      <c r="AT24" s="7">
        <v>2650722.75</v>
      </c>
      <c r="AU24" s="8"/>
      <c r="AV24" s="7">
        <v>10124201.73</v>
      </c>
      <c r="AW24" s="8"/>
      <c r="AX24" s="7">
        <v>18470363</v>
      </c>
      <c r="AY24" s="8"/>
      <c r="AZ24" s="7">
        <v>2673891.25</v>
      </c>
      <c r="BA24" s="8"/>
      <c r="BB24" s="7">
        <v>4826503.6100000003</v>
      </c>
      <c r="BC24" s="8"/>
      <c r="BD24" s="7">
        <v>4078944.1800000006</v>
      </c>
      <c r="BE24" s="8"/>
      <c r="BF24" s="7">
        <v>3524892.5900000003</v>
      </c>
      <c r="BG24" s="8"/>
      <c r="BH24" s="7">
        <v>4217620.5999999996</v>
      </c>
      <c r="BI24" s="8"/>
      <c r="BJ24" s="7">
        <v>4774031.7699999996</v>
      </c>
      <c r="BK24" s="8"/>
      <c r="BL24" s="7">
        <v>4714548.1999999993</v>
      </c>
      <c r="BM24" s="8"/>
      <c r="BN24" s="7">
        <v>4637394.3499999996</v>
      </c>
      <c r="BO24" s="8"/>
      <c r="BP24" s="7">
        <v>2764651.5300000003</v>
      </c>
      <c r="BQ24" s="8"/>
      <c r="BR24" s="7">
        <v>3237148.2400000007</v>
      </c>
      <c r="BS24" s="8"/>
      <c r="BT24" s="7">
        <v>5500309.71</v>
      </c>
      <c r="BU24" s="8"/>
      <c r="BV24" s="7">
        <v>5156242.08</v>
      </c>
      <c r="BW24" s="8"/>
      <c r="BX24" s="7">
        <v>5276880.7999999989</v>
      </c>
      <c r="BY24" s="8"/>
      <c r="BZ24" s="7">
        <v>4340392.5199999996</v>
      </c>
      <c r="CA24" s="8"/>
      <c r="CB24" s="7">
        <v>4431517.24</v>
      </c>
      <c r="CC24" s="8"/>
      <c r="CD24" s="7">
        <v>4388957.8999999994</v>
      </c>
      <c r="CE24" s="8"/>
      <c r="CF24" s="7">
        <v>4312427.2299999995</v>
      </c>
      <c r="CG24" s="8"/>
      <c r="CH24" s="7">
        <v>4410171.1900000004</v>
      </c>
      <c r="CI24" s="8"/>
      <c r="CJ24" s="7">
        <v>3566300.04</v>
      </c>
      <c r="CK24" s="8"/>
      <c r="CL24" s="7">
        <v>2059964.35</v>
      </c>
      <c r="CM24" s="8"/>
      <c r="CN24" s="7">
        <v>1511217.53</v>
      </c>
      <c r="CO24" s="8"/>
      <c r="CP24" s="7">
        <v>1335078.5999999999</v>
      </c>
      <c r="CQ24" s="8"/>
      <c r="CR24" s="7">
        <v>1401774.22</v>
      </c>
      <c r="CS24" s="8"/>
      <c r="CT24" s="7">
        <v>1183432.44</v>
      </c>
      <c r="CU24" s="8"/>
      <c r="CV24" s="7">
        <v>5083375.09</v>
      </c>
      <c r="CW24" s="8"/>
      <c r="CX24" s="7">
        <v>5903183.25</v>
      </c>
      <c r="CY24" s="8"/>
      <c r="CZ24" s="7">
        <v>1904350.76</v>
      </c>
      <c r="DA24" s="8"/>
      <c r="DB24" s="7">
        <v>1134009.23</v>
      </c>
      <c r="DC24" s="8"/>
    </row>
    <row r="25" spans="2:107">
      <c r="B25" s="8" t="s">
        <v>13</v>
      </c>
      <c r="C25" s="8"/>
      <c r="D25" s="7"/>
      <c r="E25" s="8"/>
      <c r="F25" s="7"/>
      <c r="G25" s="8"/>
      <c r="H25" s="7"/>
      <c r="I25" s="8"/>
      <c r="J25" s="7">
        <v>86844729.82079497</v>
      </c>
      <c r="K25" s="8"/>
      <c r="L25" s="7">
        <v>111731840.5589</v>
      </c>
      <c r="M25" s="8"/>
      <c r="N25" s="7">
        <v>95213985.184411988</v>
      </c>
      <c r="O25" s="8"/>
      <c r="P25" s="7">
        <v>71486565.212699994</v>
      </c>
      <c r="Q25" s="8"/>
      <c r="R25" s="7">
        <v>62594904.354406998</v>
      </c>
      <c r="S25" s="8"/>
      <c r="T25" s="7">
        <v>79658539.694054976</v>
      </c>
      <c r="U25" s="8"/>
      <c r="V25" s="7">
        <v>75704010.116249979</v>
      </c>
      <c r="W25" s="8"/>
      <c r="X25" s="7">
        <v>57468892.653191015</v>
      </c>
      <c r="Y25" s="8"/>
      <c r="Z25" s="7">
        <v>59866899.931993984</v>
      </c>
      <c r="AA25" s="8"/>
      <c r="AB25" s="7">
        <v>47370342.026680008</v>
      </c>
      <c r="AC25" s="8"/>
      <c r="AD25" s="7">
        <v>30117855.320038002</v>
      </c>
      <c r="AE25" s="8"/>
      <c r="AF25" s="7">
        <v>43985522.152796</v>
      </c>
      <c r="AG25" s="8"/>
      <c r="AH25" s="7">
        <v>18173007.080000002</v>
      </c>
      <c r="AI25" s="8"/>
      <c r="AJ25" s="7">
        <v>39312806.039999999</v>
      </c>
      <c r="AK25" s="8"/>
      <c r="AL25" s="7">
        <v>17470908.460000001</v>
      </c>
      <c r="AM25" s="8"/>
      <c r="AN25" s="7">
        <v>22325321.52</v>
      </c>
      <c r="AO25" s="8"/>
      <c r="AP25" s="7">
        <v>18625738.609999999</v>
      </c>
      <c r="AQ25" s="7"/>
      <c r="AR25" s="7">
        <v>28371116.220000003</v>
      </c>
      <c r="AS25" s="8"/>
      <c r="AT25" s="7">
        <v>19457506.970000003</v>
      </c>
      <c r="AU25" s="8"/>
      <c r="AV25" s="7">
        <v>33706939.789999999</v>
      </c>
      <c r="AW25" s="8"/>
      <c r="AX25" s="7">
        <v>21008156.249999996</v>
      </c>
      <c r="AY25" s="8"/>
      <c r="AZ25" s="7">
        <v>26526922.699999992</v>
      </c>
      <c r="BA25" s="8"/>
      <c r="BB25" s="7">
        <v>17377533.289999999</v>
      </c>
      <c r="BC25" s="8"/>
      <c r="BD25" s="7">
        <v>18208162.260000002</v>
      </c>
      <c r="BE25" s="8"/>
      <c r="BF25" s="7">
        <v>24267105.179999996</v>
      </c>
      <c r="BG25" s="8"/>
      <c r="BH25" s="7">
        <v>17792559.75</v>
      </c>
      <c r="BI25" s="8"/>
      <c r="BJ25" s="7">
        <v>12825301.139999999</v>
      </c>
      <c r="BK25" s="8"/>
      <c r="BL25" s="7">
        <v>16443764.177424952</v>
      </c>
      <c r="BM25" s="8"/>
      <c r="BN25" s="7">
        <v>18579835.41</v>
      </c>
      <c r="BO25" s="8"/>
      <c r="BP25" s="7">
        <v>17547220.309999999</v>
      </c>
      <c r="BQ25" s="8"/>
      <c r="BR25" s="7">
        <v>12605394.819999998</v>
      </c>
      <c r="BS25" s="8"/>
      <c r="BT25" s="7">
        <v>9626443.4799999986</v>
      </c>
      <c r="BU25" s="8"/>
      <c r="BV25" s="7">
        <v>11397470.280000001</v>
      </c>
      <c r="BW25" s="8"/>
      <c r="BX25" s="7">
        <v>17535890.019999996</v>
      </c>
      <c r="BY25" s="8"/>
      <c r="BZ25" s="7">
        <v>10161203.91</v>
      </c>
      <c r="CA25" s="8"/>
      <c r="CB25" s="7">
        <v>8946542.540000001</v>
      </c>
      <c r="CC25" s="8"/>
      <c r="CD25" s="7">
        <v>17583352.710000001</v>
      </c>
      <c r="CE25" s="8"/>
      <c r="CF25" s="7">
        <v>28936403.040000003</v>
      </c>
      <c r="CG25" s="8"/>
      <c r="CH25" s="7">
        <v>11772860.030000001</v>
      </c>
      <c r="CI25" s="8"/>
      <c r="CJ25" s="7">
        <v>17661768.789999999</v>
      </c>
      <c r="CK25" s="8"/>
      <c r="CL25" s="7">
        <v>19435783.640000001</v>
      </c>
      <c r="CM25" s="8"/>
      <c r="CN25" s="7">
        <v>38850079.75999999</v>
      </c>
      <c r="CO25" s="8"/>
      <c r="CP25" s="7">
        <v>27633441.23</v>
      </c>
      <c r="CQ25" s="8"/>
      <c r="CR25" s="7">
        <v>23018024.060000002</v>
      </c>
      <c r="CS25" s="8"/>
      <c r="CT25" s="7">
        <v>24733365.739999998</v>
      </c>
      <c r="CU25" s="8"/>
      <c r="CV25" s="7">
        <v>21601633.23</v>
      </c>
      <c r="CW25" s="8"/>
      <c r="CX25" s="7">
        <v>11380474.739999996</v>
      </c>
      <c r="CY25" s="8"/>
      <c r="CZ25" s="7">
        <v>21764610.640000001</v>
      </c>
      <c r="DA25" s="8"/>
      <c r="DB25" s="7">
        <v>8191484.0599999996</v>
      </c>
      <c r="DC25" s="8"/>
    </row>
    <row r="26" spans="2:107" hidden="1">
      <c r="B26" s="8" t="s">
        <v>14</v>
      </c>
      <c r="C26" s="8"/>
      <c r="D26" s="7"/>
      <c r="E26" s="8"/>
      <c r="F26" s="7"/>
      <c r="G26" s="8"/>
      <c r="H26" s="7"/>
      <c r="I26" s="8"/>
      <c r="J26" s="7"/>
      <c r="K26" s="8"/>
      <c r="L26" s="7"/>
      <c r="M26" s="8"/>
      <c r="N26" s="7"/>
      <c r="O26" s="8"/>
      <c r="P26" s="7"/>
      <c r="Q26" s="8"/>
      <c r="R26" s="7"/>
      <c r="S26" s="8"/>
      <c r="T26" s="7"/>
      <c r="U26" s="8"/>
      <c r="V26" s="7"/>
      <c r="W26" s="8"/>
      <c r="X26" s="7"/>
      <c r="Y26" s="8"/>
      <c r="Z26" s="7"/>
      <c r="AA26" s="8"/>
      <c r="AB26" s="7"/>
      <c r="AC26" s="8"/>
      <c r="AD26" s="7"/>
      <c r="AE26" s="8"/>
      <c r="AF26" s="7"/>
      <c r="AG26" s="8"/>
      <c r="AH26" s="7">
        <v>0</v>
      </c>
      <c r="AI26" s="8"/>
      <c r="AJ26" s="7"/>
      <c r="AK26" s="8"/>
      <c r="AL26" s="7"/>
      <c r="AM26" s="8"/>
      <c r="AN26" s="7"/>
      <c r="AO26" s="8"/>
      <c r="AP26" s="7"/>
      <c r="AQ26" s="7"/>
      <c r="AR26" s="7"/>
      <c r="AS26" s="8"/>
      <c r="AT26" s="7"/>
      <c r="AU26" s="8"/>
      <c r="AV26" s="7">
        <f>SUM(AV27:AV30)</f>
        <v>1685877.39</v>
      </c>
      <c r="AW26" s="8"/>
      <c r="AX26" s="7">
        <f>SUM(AX27:AX30)</f>
        <v>1666119.17</v>
      </c>
      <c r="AY26" s="8"/>
      <c r="AZ26" s="7">
        <v>1646143.83</v>
      </c>
      <c r="BA26" s="8"/>
      <c r="BB26" s="7">
        <f>SUM(BB27:BB30)</f>
        <v>1626168.49</v>
      </c>
      <c r="BC26" s="8"/>
      <c r="BD26" s="7">
        <f>SUM(BD27:BD30)</f>
        <v>1606410.27</v>
      </c>
      <c r="BE26" s="8"/>
      <c r="BF26" s="7">
        <v>953465.75</v>
      </c>
      <c r="BG26" s="8"/>
      <c r="BH26" s="7">
        <v>0</v>
      </c>
      <c r="BI26" s="8"/>
      <c r="BJ26" s="7">
        <f>SUM(BJ27:BJ30)</f>
        <v>0</v>
      </c>
      <c r="BK26" s="8"/>
      <c r="BL26" s="7">
        <f>SUM(BL27:BL30)</f>
        <v>0</v>
      </c>
      <c r="BM26" s="8"/>
      <c r="BN26" s="7">
        <v>0</v>
      </c>
      <c r="BO26" s="8"/>
      <c r="BP26" s="7">
        <v>0</v>
      </c>
      <c r="BQ26" s="8"/>
      <c r="BR26" s="7">
        <f>SUM(BR27:BR30)</f>
        <v>0</v>
      </c>
      <c r="BS26" s="8"/>
      <c r="BT26" s="7">
        <f>SUM(BT27:BT30)</f>
        <v>0</v>
      </c>
      <c r="BU26" s="8"/>
      <c r="BV26" s="7">
        <f>SUM(BV27:BV30)</f>
        <v>0</v>
      </c>
      <c r="BW26" s="8"/>
      <c r="BX26" s="7">
        <v>0</v>
      </c>
      <c r="BY26" s="8"/>
      <c r="BZ26" s="7">
        <f>SUM(BZ27:BZ30)</f>
        <v>0</v>
      </c>
      <c r="CA26" s="8"/>
      <c r="CB26" s="7">
        <f>SUM(CB27:CB30)</f>
        <v>0</v>
      </c>
      <c r="CC26" s="8"/>
      <c r="CD26" s="7">
        <f>SUM(CD27:CD30)</f>
        <v>0</v>
      </c>
      <c r="CE26" s="8"/>
      <c r="CF26" s="7">
        <v>0</v>
      </c>
      <c r="CG26" s="8"/>
      <c r="CH26" s="7">
        <v>0</v>
      </c>
      <c r="CI26" s="8"/>
      <c r="CJ26" s="7">
        <v>0</v>
      </c>
      <c r="CK26" s="8"/>
      <c r="CL26" s="7">
        <v>0</v>
      </c>
      <c r="CM26" s="8"/>
      <c r="CN26" s="7">
        <f>SUM(CN27:CN30)</f>
        <v>0</v>
      </c>
      <c r="CO26" s="8"/>
      <c r="CP26" s="7">
        <f>SUM(CP27:CP30)</f>
        <v>0</v>
      </c>
      <c r="CQ26" s="9"/>
      <c r="CR26" s="7">
        <f>SUM(CR27:CR30)</f>
        <v>0</v>
      </c>
      <c r="CS26" s="8"/>
      <c r="CT26" s="7">
        <v>0</v>
      </c>
      <c r="CU26" s="8"/>
      <c r="CV26" s="7">
        <f>SUM(CV27:CV30)</f>
        <v>78313.970000000205</v>
      </c>
      <c r="CW26" s="9"/>
      <c r="CX26" s="7">
        <f>SUM(CX27:CX30)</f>
        <v>562982.74</v>
      </c>
      <c r="CY26" s="9"/>
      <c r="CZ26" s="7">
        <v>531958.90999999992</v>
      </c>
      <c r="DA26" s="8"/>
      <c r="DB26" s="7">
        <v>0</v>
      </c>
      <c r="DC26" s="8"/>
    </row>
    <row r="27" spans="2:107">
      <c r="B27" s="8" t="s">
        <v>15</v>
      </c>
      <c r="C27" s="10"/>
      <c r="D27" s="7"/>
      <c r="E27" s="10"/>
      <c r="F27" s="7"/>
      <c r="G27" s="10"/>
      <c r="H27" s="7"/>
      <c r="I27" s="10"/>
      <c r="J27" s="7">
        <v>2037915.76</v>
      </c>
      <c r="K27" s="10"/>
      <c r="L27" s="7">
        <v>2006298.01</v>
      </c>
      <c r="M27" s="10"/>
      <c r="N27" s="7">
        <v>1974639.9299999997</v>
      </c>
      <c r="O27" s="10"/>
      <c r="P27" s="7">
        <v>1943325.96</v>
      </c>
      <c r="Q27" s="10"/>
      <c r="R27" s="7">
        <v>1911892.3200000003</v>
      </c>
      <c r="S27" s="10"/>
      <c r="T27" s="7">
        <v>1880113.25</v>
      </c>
      <c r="U27" s="10"/>
      <c r="V27" s="7">
        <v>1848777.8</v>
      </c>
      <c r="W27" s="10"/>
      <c r="X27" s="7">
        <v>1813788.21</v>
      </c>
      <c r="Y27" s="10"/>
      <c r="Z27" s="7">
        <v>1725547.4</v>
      </c>
      <c r="AA27" s="10"/>
      <c r="AB27" s="7">
        <v>1704880</v>
      </c>
      <c r="AC27" s="10"/>
      <c r="AD27" s="7">
        <v>1689555.0700000003</v>
      </c>
      <c r="AE27" s="10"/>
      <c r="AF27" s="7">
        <v>1674396.71</v>
      </c>
      <c r="AG27" s="10"/>
      <c r="AH27" s="7">
        <v>1737474.46</v>
      </c>
      <c r="AI27" s="10"/>
      <c r="AJ27" s="7">
        <v>1648880</v>
      </c>
      <c r="AK27" s="10"/>
      <c r="AL27" s="7">
        <v>1638355.07</v>
      </c>
      <c r="AM27" s="10"/>
      <c r="AN27" s="7">
        <v>1627996.71</v>
      </c>
      <c r="AO27" s="10"/>
      <c r="AP27" s="7">
        <v>554176.69999999995</v>
      </c>
      <c r="AQ27" s="7"/>
      <c r="AR27" s="7">
        <v>1725610.95</v>
      </c>
      <c r="AS27" s="10"/>
      <c r="AT27" s="7">
        <v>1705635.61</v>
      </c>
      <c r="AU27" s="10"/>
      <c r="AV27" s="7">
        <v>1685877.39</v>
      </c>
      <c r="AW27" s="10"/>
      <c r="AX27" s="7">
        <v>1666119.17</v>
      </c>
      <c r="AY27" s="10"/>
      <c r="AZ27" s="7">
        <v>1646143.83</v>
      </c>
      <c r="BA27" s="10"/>
      <c r="BB27" s="7">
        <v>1626168.49</v>
      </c>
      <c r="BC27" s="10"/>
      <c r="BD27" s="7">
        <v>1606410.27</v>
      </c>
      <c r="BE27" s="10"/>
      <c r="BF27" s="7">
        <v>953465.75</v>
      </c>
      <c r="BG27" s="10"/>
      <c r="BH27" s="7">
        <v>0</v>
      </c>
      <c r="BI27" s="10"/>
      <c r="BJ27" s="7">
        <v>0</v>
      </c>
      <c r="BK27" s="10"/>
      <c r="BL27" s="7">
        <v>0</v>
      </c>
      <c r="BM27" s="10"/>
      <c r="BN27" s="7">
        <v>0</v>
      </c>
      <c r="BO27" s="10"/>
      <c r="BP27" s="7">
        <v>0</v>
      </c>
      <c r="BQ27" s="10"/>
      <c r="BR27" s="7">
        <v>0</v>
      </c>
      <c r="BS27" s="10"/>
      <c r="BT27" s="7">
        <v>0</v>
      </c>
      <c r="BU27" s="10"/>
      <c r="BV27" s="7">
        <v>0</v>
      </c>
      <c r="BW27" s="10"/>
      <c r="BX27" s="7">
        <v>0</v>
      </c>
      <c r="BY27" s="10"/>
      <c r="BZ27" s="7">
        <v>0</v>
      </c>
      <c r="CA27" s="10"/>
      <c r="CB27" s="7">
        <v>0</v>
      </c>
      <c r="CC27" s="10"/>
      <c r="CD27" s="7">
        <v>0</v>
      </c>
      <c r="CE27" s="10"/>
      <c r="CF27" s="7">
        <v>0</v>
      </c>
      <c r="CG27" s="10"/>
      <c r="CH27" s="7">
        <v>0</v>
      </c>
      <c r="CI27" s="10"/>
      <c r="CJ27" s="7">
        <v>0</v>
      </c>
      <c r="CK27" s="10"/>
      <c r="CL27" s="7">
        <v>0</v>
      </c>
      <c r="CM27" s="10"/>
      <c r="CN27" s="7">
        <v>0</v>
      </c>
      <c r="CO27" s="10"/>
      <c r="CP27" s="7">
        <v>0</v>
      </c>
      <c r="CQ27" s="8"/>
      <c r="CR27" s="7">
        <v>0</v>
      </c>
      <c r="CS27" s="10"/>
      <c r="CT27" s="7">
        <v>0</v>
      </c>
      <c r="CU27" s="10"/>
      <c r="CV27" s="7">
        <v>78313.970000000205</v>
      </c>
      <c r="CW27" s="8"/>
      <c r="CX27" s="7">
        <v>62090.959999999963</v>
      </c>
      <c r="CY27" s="8"/>
      <c r="CZ27" s="7">
        <v>20000</v>
      </c>
      <c r="DA27" s="8"/>
      <c r="DB27" s="7">
        <v>0</v>
      </c>
      <c r="DC27" s="10"/>
    </row>
    <row r="28" spans="2:107">
      <c r="B28" s="8" t="s">
        <v>16</v>
      </c>
      <c r="C28" s="10"/>
      <c r="D28" s="7"/>
      <c r="E28" s="10"/>
      <c r="F28" s="7"/>
      <c r="G28" s="10"/>
      <c r="H28" s="7"/>
      <c r="I28" s="10"/>
      <c r="J28" s="7">
        <v>0</v>
      </c>
      <c r="K28" s="10"/>
      <c r="L28" s="7">
        <v>0</v>
      </c>
      <c r="M28" s="10"/>
      <c r="N28" s="7">
        <v>0</v>
      </c>
      <c r="O28" s="10"/>
      <c r="P28" s="7">
        <v>0</v>
      </c>
      <c r="Q28" s="10"/>
      <c r="R28" s="7">
        <v>0</v>
      </c>
      <c r="S28" s="10"/>
      <c r="T28" s="7">
        <v>0</v>
      </c>
      <c r="U28" s="10"/>
      <c r="V28" s="7">
        <v>0</v>
      </c>
      <c r="W28" s="10"/>
      <c r="X28" s="7">
        <v>0</v>
      </c>
      <c r="Y28" s="10"/>
      <c r="Z28" s="7">
        <v>0</v>
      </c>
      <c r="AA28" s="10"/>
      <c r="AB28" s="7">
        <v>0</v>
      </c>
      <c r="AC28" s="10"/>
      <c r="AD28" s="7">
        <v>0</v>
      </c>
      <c r="AE28" s="10"/>
      <c r="AF28" s="7">
        <v>0</v>
      </c>
      <c r="AG28" s="10"/>
      <c r="AH28" s="7">
        <v>0</v>
      </c>
      <c r="AI28" s="10"/>
      <c r="AJ28" s="7">
        <v>0</v>
      </c>
      <c r="AK28" s="10"/>
      <c r="AL28" s="7">
        <v>0</v>
      </c>
      <c r="AM28" s="10"/>
      <c r="AN28" s="7">
        <v>0</v>
      </c>
      <c r="AO28" s="10"/>
      <c r="AP28" s="7">
        <v>0</v>
      </c>
      <c r="AQ28" s="7"/>
      <c r="AR28" s="7">
        <v>0</v>
      </c>
      <c r="AS28" s="10"/>
      <c r="AT28" s="7">
        <v>0</v>
      </c>
      <c r="AU28" s="10"/>
      <c r="AV28" s="7">
        <v>0</v>
      </c>
      <c r="AW28" s="10"/>
      <c r="AX28" s="7">
        <v>0</v>
      </c>
      <c r="AY28" s="10"/>
      <c r="AZ28" s="7">
        <v>0</v>
      </c>
      <c r="BA28" s="10"/>
      <c r="BB28" s="7">
        <v>0</v>
      </c>
      <c r="BC28" s="10"/>
      <c r="BD28" s="7">
        <v>0</v>
      </c>
      <c r="BE28" s="10"/>
      <c r="BF28" s="7">
        <v>0</v>
      </c>
      <c r="BG28" s="10"/>
      <c r="BH28" s="7">
        <v>0</v>
      </c>
      <c r="BI28" s="10"/>
      <c r="BJ28" s="7">
        <v>0</v>
      </c>
      <c r="BK28" s="10"/>
      <c r="BL28" s="7">
        <v>0</v>
      </c>
      <c r="BM28" s="10"/>
      <c r="BN28" s="7">
        <v>0</v>
      </c>
      <c r="BO28" s="10"/>
      <c r="BP28" s="7">
        <v>0</v>
      </c>
      <c r="BQ28" s="10"/>
      <c r="BR28" s="7">
        <v>0</v>
      </c>
      <c r="BS28" s="10"/>
      <c r="BT28" s="7">
        <v>0</v>
      </c>
      <c r="BU28" s="10"/>
      <c r="BV28" s="7">
        <v>0</v>
      </c>
      <c r="BW28" s="10"/>
      <c r="BX28" s="7">
        <v>0</v>
      </c>
      <c r="BY28" s="10"/>
      <c r="BZ28" s="7">
        <v>0</v>
      </c>
      <c r="CA28" s="10"/>
      <c r="CB28" s="7">
        <v>0</v>
      </c>
      <c r="CC28" s="10"/>
      <c r="CD28" s="7">
        <v>0</v>
      </c>
      <c r="CE28" s="10"/>
      <c r="CF28" s="7">
        <v>0</v>
      </c>
      <c r="CG28" s="10"/>
      <c r="CH28" s="7">
        <v>0</v>
      </c>
      <c r="CI28" s="10"/>
      <c r="CJ28" s="7">
        <v>0</v>
      </c>
      <c r="CK28" s="10"/>
      <c r="CL28" s="7">
        <v>0</v>
      </c>
      <c r="CM28" s="10"/>
      <c r="CN28" s="7">
        <v>0</v>
      </c>
      <c r="CO28" s="10"/>
      <c r="CP28" s="7">
        <v>0</v>
      </c>
      <c r="CQ28" s="9"/>
      <c r="CR28" s="7">
        <v>0</v>
      </c>
      <c r="CS28" s="10"/>
      <c r="CT28" s="7">
        <v>0</v>
      </c>
      <c r="CU28" s="10"/>
      <c r="CV28" s="7">
        <v>0</v>
      </c>
      <c r="CW28" s="9"/>
      <c r="CX28" s="7">
        <v>0</v>
      </c>
      <c r="CY28" s="9"/>
      <c r="CZ28" s="7">
        <v>0</v>
      </c>
      <c r="DA28" s="8"/>
      <c r="DB28" s="7">
        <v>0</v>
      </c>
      <c r="DC28" s="10"/>
    </row>
    <row r="29" spans="2:107">
      <c r="B29" s="8" t="s">
        <v>17</v>
      </c>
      <c r="C29" s="10"/>
      <c r="D29" s="7"/>
      <c r="E29" s="10"/>
      <c r="F29" s="7"/>
      <c r="G29" s="10"/>
      <c r="H29" s="7"/>
      <c r="I29" s="10"/>
      <c r="J29" s="7">
        <v>0</v>
      </c>
      <c r="K29" s="10"/>
      <c r="L29" s="7">
        <v>0</v>
      </c>
      <c r="M29" s="10"/>
      <c r="N29" s="7">
        <v>0</v>
      </c>
      <c r="O29" s="10"/>
      <c r="P29" s="7">
        <v>0</v>
      </c>
      <c r="Q29" s="10"/>
      <c r="R29" s="7">
        <v>0</v>
      </c>
      <c r="S29" s="10"/>
      <c r="T29" s="7">
        <v>0</v>
      </c>
      <c r="U29" s="10"/>
      <c r="V29" s="7">
        <v>0</v>
      </c>
      <c r="W29" s="10"/>
      <c r="X29" s="7">
        <v>0</v>
      </c>
      <c r="Y29" s="10"/>
      <c r="Z29" s="7">
        <v>0</v>
      </c>
      <c r="AA29" s="10"/>
      <c r="AB29" s="7">
        <v>0</v>
      </c>
      <c r="AC29" s="10"/>
      <c r="AD29" s="7">
        <v>0</v>
      </c>
      <c r="AE29" s="10"/>
      <c r="AF29" s="7">
        <v>0</v>
      </c>
      <c r="AG29" s="10"/>
      <c r="AH29" s="7">
        <v>0</v>
      </c>
      <c r="AI29" s="10"/>
      <c r="AJ29" s="7">
        <v>0</v>
      </c>
      <c r="AK29" s="10"/>
      <c r="AL29" s="7">
        <v>0</v>
      </c>
      <c r="AM29" s="10"/>
      <c r="AN29" s="7">
        <v>0</v>
      </c>
      <c r="AO29" s="10"/>
      <c r="AP29" s="7">
        <v>0</v>
      </c>
      <c r="AQ29" s="7"/>
      <c r="AR29" s="7">
        <v>0</v>
      </c>
      <c r="AS29" s="10"/>
      <c r="AT29" s="7">
        <v>0</v>
      </c>
      <c r="AU29" s="10"/>
      <c r="AV29" s="7">
        <v>0</v>
      </c>
      <c r="AW29" s="10"/>
      <c r="AX29" s="7">
        <v>0</v>
      </c>
      <c r="AY29" s="10"/>
      <c r="AZ29" s="7">
        <v>0</v>
      </c>
      <c r="BA29" s="10"/>
      <c r="BB29" s="7">
        <v>0</v>
      </c>
      <c r="BC29" s="10"/>
      <c r="BD29" s="7">
        <v>0</v>
      </c>
      <c r="BE29" s="10"/>
      <c r="BF29" s="7">
        <v>0</v>
      </c>
      <c r="BG29" s="10"/>
      <c r="BH29" s="7">
        <v>0</v>
      </c>
      <c r="BI29" s="10"/>
      <c r="BJ29" s="7">
        <v>0</v>
      </c>
      <c r="BK29" s="10"/>
      <c r="BL29" s="7">
        <v>0</v>
      </c>
      <c r="BM29" s="10"/>
      <c r="BN29" s="7">
        <v>0</v>
      </c>
      <c r="BO29" s="10"/>
      <c r="BP29" s="7">
        <v>0</v>
      </c>
      <c r="BQ29" s="10"/>
      <c r="BR29" s="7">
        <v>0</v>
      </c>
      <c r="BS29" s="10"/>
      <c r="BT29" s="7">
        <v>0</v>
      </c>
      <c r="BU29" s="10"/>
      <c r="BV29" s="7">
        <v>0</v>
      </c>
      <c r="BW29" s="10"/>
      <c r="BX29" s="7">
        <v>0</v>
      </c>
      <c r="BY29" s="10"/>
      <c r="BZ29" s="7">
        <v>0</v>
      </c>
      <c r="CA29" s="10"/>
      <c r="CB29" s="7">
        <v>0</v>
      </c>
      <c r="CC29" s="10"/>
      <c r="CD29" s="7">
        <v>0</v>
      </c>
      <c r="CE29" s="10"/>
      <c r="CF29" s="7">
        <v>0</v>
      </c>
      <c r="CG29" s="10"/>
      <c r="CH29" s="7">
        <v>0</v>
      </c>
      <c r="CI29" s="10"/>
      <c r="CJ29" s="7">
        <v>0</v>
      </c>
      <c r="CK29" s="10"/>
      <c r="CL29" s="7">
        <v>0</v>
      </c>
      <c r="CM29" s="10"/>
      <c r="CN29" s="7">
        <v>0</v>
      </c>
      <c r="CO29" s="10"/>
      <c r="CP29" s="7">
        <v>0</v>
      </c>
      <c r="CQ29" s="6"/>
      <c r="CR29" s="7">
        <v>0</v>
      </c>
      <c r="CS29" s="10"/>
      <c r="CT29" s="7">
        <v>0</v>
      </c>
      <c r="CU29" s="10"/>
      <c r="CV29" s="7">
        <v>0</v>
      </c>
      <c r="CW29" s="6"/>
      <c r="CX29" s="7">
        <v>0</v>
      </c>
      <c r="CY29" s="6"/>
      <c r="CZ29" s="7">
        <v>0</v>
      </c>
      <c r="DA29" s="8"/>
      <c r="DB29" s="7">
        <v>0</v>
      </c>
      <c r="DC29" s="10"/>
    </row>
    <row r="30" spans="2:107">
      <c r="B30" s="8" t="s">
        <v>18</v>
      </c>
      <c r="C30" s="10"/>
      <c r="D30" s="7"/>
      <c r="E30" s="10"/>
      <c r="F30" s="7"/>
      <c r="G30" s="10"/>
      <c r="H30" s="7"/>
      <c r="I30" s="10"/>
      <c r="J30" s="7">
        <v>0</v>
      </c>
      <c r="K30" s="10"/>
      <c r="L30" s="7">
        <v>0</v>
      </c>
      <c r="M30" s="10"/>
      <c r="N30" s="7">
        <v>0</v>
      </c>
      <c r="O30" s="10"/>
      <c r="P30" s="7">
        <v>0</v>
      </c>
      <c r="Q30" s="10"/>
      <c r="R30" s="7">
        <v>0</v>
      </c>
      <c r="S30" s="10"/>
      <c r="T30" s="7">
        <v>0</v>
      </c>
      <c r="U30" s="10"/>
      <c r="V30" s="7">
        <v>0</v>
      </c>
      <c r="W30" s="10"/>
      <c r="X30" s="7">
        <v>0</v>
      </c>
      <c r="Y30" s="10"/>
      <c r="Z30" s="7">
        <v>0</v>
      </c>
      <c r="AA30" s="10"/>
      <c r="AB30" s="7">
        <v>0</v>
      </c>
      <c r="AC30" s="10"/>
      <c r="AD30" s="7">
        <v>0</v>
      </c>
      <c r="AE30" s="10"/>
      <c r="AF30" s="7">
        <v>0</v>
      </c>
      <c r="AG30" s="10"/>
      <c r="AH30" s="7">
        <v>0</v>
      </c>
      <c r="AI30" s="10"/>
      <c r="AJ30" s="7">
        <v>0</v>
      </c>
      <c r="AK30" s="10"/>
      <c r="AL30" s="7">
        <v>0</v>
      </c>
      <c r="AM30" s="10"/>
      <c r="AN30" s="7">
        <v>0</v>
      </c>
      <c r="AO30" s="10"/>
      <c r="AP30" s="7">
        <v>0</v>
      </c>
      <c r="AQ30" s="7"/>
      <c r="AR30" s="7">
        <v>0</v>
      </c>
      <c r="AS30" s="10"/>
      <c r="AT30" s="7">
        <v>0</v>
      </c>
      <c r="AU30" s="10"/>
      <c r="AV30" s="7">
        <v>0</v>
      </c>
      <c r="AW30" s="10"/>
      <c r="AX30" s="7">
        <v>0</v>
      </c>
      <c r="AY30" s="10"/>
      <c r="AZ30" s="7">
        <v>0</v>
      </c>
      <c r="BA30" s="10"/>
      <c r="BB30" s="7">
        <v>0</v>
      </c>
      <c r="BC30" s="10"/>
      <c r="BD30" s="7">
        <v>0</v>
      </c>
      <c r="BE30" s="10"/>
      <c r="BF30" s="7">
        <v>0</v>
      </c>
      <c r="BG30" s="10"/>
      <c r="BH30" s="7">
        <v>0</v>
      </c>
      <c r="BI30" s="10"/>
      <c r="BJ30" s="7">
        <v>0</v>
      </c>
      <c r="BK30" s="10"/>
      <c r="BL30" s="7">
        <v>0</v>
      </c>
      <c r="BM30" s="10"/>
      <c r="BN30" s="7">
        <v>0</v>
      </c>
      <c r="BO30" s="10"/>
      <c r="BP30" s="7">
        <v>0</v>
      </c>
      <c r="BQ30" s="10"/>
      <c r="BR30" s="7">
        <v>0</v>
      </c>
      <c r="BS30" s="10"/>
      <c r="BT30" s="7">
        <v>0</v>
      </c>
      <c r="BU30" s="10"/>
      <c r="BV30" s="7">
        <v>0</v>
      </c>
      <c r="BW30" s="10"/>
      <c r="BX30" s="7">
        <v>0</v>
      </c>
      <c r="BY30" s="10"/>
      <c r="BZ30" s="7">
        <v>0</v>
      </c>
      <c r="CA30" s="10"/>
      <c r="CB30" s="7">
        <v>0</v>
      </c>
      <c r="CC30" s="10"/>
      <c r="CD30" s="7">
        <v>0</v>
      </c>
      <c r="CE30" s="10"/>
      <c r="CF30" s="7">
        <v>0</v>
      </c>
      <c r="CG30" s="10"/>
      <c r="CH30" s="7">
        <v>0</v>
      </c>
      <c r="CI30" s="10"/>
      <c r="CJ30" s="7">
        <v>0</v>
      </c>
      <c r="CK30" s="10"/>
      <c r="CL30" s="7">
        <v>0</v>
      </c>
      <c r="CM30" s="10"/>
      <c r="CN30" s="7">
        <v>0</v>
      </c>
      <c r="CO30" s="10"/>
      <c r="CP30" s="7">
        <v>0</v>
      </c>
      <c r="CQ30" s="8"/>
      <c r="CR30" s="7">
        <v>0</v>
      </c>
      <c r="CS30" s="10"/>
      <c r="CT30" s="7">
        <v>0</v>
      </c>
      <c r="CU30" s="10"/>
      <c r="CV30" s="7">
        <v>0</v>
      </c>
      <c r="CW30" s="8"/>
      <c r="CX30" s="7">
        <v>500891.78</v>
      </c>
      <c r="CY30" s="8"/>
      <c r="CZ30" s="7">
        <v>511958.91</v>
      </c>
      <c r="DA30" s="8"/>
      <c r="DB30" s="7">
        <v>0</v>
      </c>
      <c r="DC30" s="10"/>
    </row>
    <row r="31" spans="2:107">
      <c r="B31" s="8" t="s">
        <v>290</v>
      </c>
      <c r="C31" s="10"/>
      <c r="D31" s="7"/>
      <c r="E31" s="10"/>
      <c r="F31" s="7"/>
      <c r="G31" s="10"/>
      <c r="H31" s="7"/>
      <c r="I31" s="10"/>
      <c r="J31" s="7">
        <v>0</v>
      </c>
      <c r="K31" s="10"/>
      <c r="L31" s="7">
        <v>0</v>
      </c>
      <c r="M31" s="10"/>
      <c r="N31" s="7">
        <v>0</v>
      </c>
      <c r="O31" s="10"/>
      <c r="P31" s="7">
        <v>0</v>
      </c>
      <c r="Q31" s="10"/>
      <c r="R31" s="7">
        <v>0</v>
      </c>
      <c r="S31" s="10"/>
      <c r="T31" s="7">
        <v>0</v>
      </c>
      <c r="U31" s="10"/>
      <c r="V31" s="7">
        <v>0</v>
      </c>
      <c r="W31" s="10"/>
      <c r="X31" s="7">
        <v>0</v>
      </c>
      <c r="Y31" s="10"/>
      <c r="Z31" s="7">
        <v>0</v>
      </c>
      <c r="AA31" s="10"/>
      <c r="AB31" s="7">
        <v>0</v>
      </c>
      <c r="AC31" s="10"/>
      <c r="AD31" s="7">
        <v>3539037.52</v>
      </c>
      <c r="AE31" s="10"/>
      <c r="AF31" s="7">
        <v>3782730.58</v>
      </c>
      <c r="AG31" s="10"/>
      <c r="AH31" s="7">
        <v>3963668.08</v>
      </c>
      <c r="AI31" s="10"/>
      <c r="AJ31" s="7">
        <v>1015905</v>
      </c>
      <c r="AK31" s="10"/>
      <c r="AL31" s="7">
        <v>1068529.3799999999</v>
      </c>
      <c r="AM31" s="10"/>
      <c r="AN31" s="7">
        <v>999874</v>
      </c>
      <c r="AO31" s="10"/>
      <c r="AP31" s="7">
        <v>909074.8</v>
      </c>
      <c r="AQ31" s="7"/>
      <c r="AR31" s="7">
        <v>984095</v>
      </c>
      <c r="AS31" s="10"/>
      <c r="AT31" s="7"/>
      <c r="AU31" s="10"/>
      <c r="AV31" s="7"/>
      <c r="AW31" s="10"/>
      <c r="AX31" s="7"/>
      <c r="AY31" s="10"/>
      <c r="AZ31" s="7"/>
      <c r="BA31" s="10"/>
      <c r="BB31" s="7"/>
      <c r="BC31" s="10"/>
      <c r="BD31" s="7"/>
      <c r="BE31" s="10"/>
      <c r="BF31" s="7"/>
      <c r="BG31" s="10"/>
      <c r="BH31" s="7"/>
      <c r="BI31" s="10"/>
      <c r="BJ31" s="7"/>
      <c r="BK31" s="10"/>
      <c r="BL31" s="7"/>
      <c r="BM31" s="10"/>
      <c r="BN31" s="7"/>
      <c r="BO31" s="10"/>
      <c r="BP31" s="7"/>
      <c r="BQ31" s="10"/>
      <c r="BR31" s="7"/>
      <c r="BS31" s="10"/>
      <c r="BT31" s="7"/>
      <c r="BU31" s="10"/>
      <c r="BV31" s="7"/>
      <c r="BW31" s="10"/>
      <c r="BX31" s="7"/>
      <c r="BY31" s="10"/>
      <c r="BZ31" s="7"/>
      <c r="CA31" s="10"/>
      <c r="CB31" s="7"/>
      <c r="CC31" s="10"/>
      <c r="CD31" s="7"/>
      <c r="CE31" s="10"/>
      <c r="CF31" s="7"/>
      <c r="CG31" s="10"/>
      <c r="CH31" s="7"/>
      <c r="CI31" s="10"/>
      <c r="CJ31" s="7"/>
      <c r="CK31" s="10"/>
      <c r="CL31" s="7"/>
      <c r="CM31" s="10"/>
      <c r="CN31" s="7"/>
      <c r="CO31" s="10"/>
      <c r="CP31" s="7"/>
      <c r="CQ31" s="8"/>
      <c r="CR31" s="7"/>
      <c r="CS31" s="10"/>
      <c r="CT31" s="7"/>
      <c r="CU31" s="10"/>
      <c r="CV31" s="7"/>
      <c r="CW31" s="8"/>
      <c r="CX31" s="7"/>
      <c r="CY31" s="8"/>
      <c r="CZ31" s="7"/>
      <c r="DA31" s="8"/>
      <c r="DB31" s="7"/>
      <c r="DC31" s="10"/>
    </row>
    <row r="32" spans="2:107">
      <c r="B32" s="8" t="s">
        <v>299</v>
      </c>
      <c r="C32" s="10"/>
      <c r="D32" s="7"/>
      <c r="E32" s="10"/>
      <c r="F32" s="7"/>
      <c r="G32" s="10"/>
      <c r="H32" s="7"/>
      <c r="I32" s="10"/>
      <c r="J32" s="7">
        <v>0</v>
      </c>
      <c r="K32" s="10"/>
      <c r="L32" s="7">
        <v>0</v>
      </c>
      <c r="M32" s="10"/>
      <c r="N32" s="7">
        <v>0</v>
      </c>
      <c r="O32" s="10"/>
      <c r="P32" s="7">
        <v>0</v>
      </c>
      <c r="Q32" s="10"/>
      <c r="R32" s="7">
        <v>0</v>
      </c>
      <c r="S32" s="10"/>
      <c r="T32" s="7">
        <v>802485.99</v>
      </c>
      <c r="U32" s="10"/>
      <c r="V32" s="7">
        <v>0</v>
      </c>
      <c r="W32" s="10"/>
      <c r="X32" s="7">
        <v>0</v>
      </c>
      <c r="Y32" s="10"/>
      <c r="Z32" s="7">
        <v>0</v>
      </c>
      <c r="AA32" s="10"/>
      <c r="AB32" s="7">
        <v>1178308.7</v>
      </c>
      <c r="AC32" s="10"/>
      <c r="AD32" s="7">
        <v>0</v>
      </c>
      <c r="AE32" s="10"/>
      <c r="AF32" s="7">
        <v>0</v>
      </c>
      <c r="AG32" s="10"/>
      <c r="AH32" s="7">
        <v>25529.62</v>
      </c>
      <c r="AI32" s="10"/>
      <c r="AJ32" s="7"/>
      <c r="AK32" s="10"/>
      <c r="AL32" s="7"/>
      <c r="AM32" s="10"/>
      <c r="AN32" s="7"/>
      <c r="AO32" s="10"/>
      <c r="AP32" s="7"/>
      <c r="AQ32" s="7"/>
      <c r="AR32" s="7"/>
      <c r="AS32" s="10"/>
      <c r="AT32" s="7"/>
      <c r="AU32" s="10"/>
      <c r="AV32" s="7"/>
      <c r="AW32" s="10"/>
      <c r="AX32" s="7"/>
      <c r="AY32" s="10"/>
      <c r="AZ32" s="7"/>
      <c r="BA32" s="10"/>
      <c r="BB32" s="7"/>
      <c r="BC32" s="10"/>
      <c r="BD32" s="7"/>
      <c r="BE32" s="10"/>
      <c r="BF32" s="7"/>
      <c r="BG32" s="10"/>
      <c r="BH32" s="7"/>
      <c r="BI32" s="10"/>
      <c r="BJ32" s="7"/>
      <c r="BK32" s="10"/>
      <c r="BL32" s="7"/>
      <c r="BM32" s="10"/>
      <c r="BN32" s="7"/>
      <c r="BO32" s="10"/>
      <c r="BP32" s="7"/>
      <c r="BQ32" s="10"/>
      <c r="BR32" s="7"/>
      <c r="BS32" s="10"/>
      <c r="BT32" s="7"/>
      <c r="BU32" s="10"/>
      <c r="BV32" s="7"/>
      <c r="BW32" s="10"/>
      <c r="BX32" s="7"/>
      <c r="BY32" s="10"/>
      <c r="BZ32" s="7"/>
      <c r="CA32" s="10"/>
      <c r="CB32" s="7"/>
      <c r="CC32" s="10"/>
      <c r="CD32" s="7"/>
      <c r="CE32" s="10"/>
      <c r="CF32" s="7"/>
      <c r="CG32" s="10"/>
      <c r="CH32" s="7"/>
      <c r="CI32" s="10"/>
      <c r="CJ32" s="7"/>
      <c r="CK32" s="10"/>
      <c r="CL32" s="7"/>
      <c r="CM32" s="10"/>
      <c r="CN32" s="7"/>
      <c r="CO32" s="10"/>
      <c r="CP32" s="7"/>
      <c r="CQ32" s="8"/>
      <c r="CR32" s="7"/>
      <c r="CS32" s="10"/>
      <c r="CT32" s="7"/>
      <c r="CU32" s="10"/>
      <c r="CV32" s="7"/>
      <c r="CW32" s="8"/>
      <c r="CX32" s="7"/>
      <c r="CY32" s="8"/>
      <c r="CZ32" s="7"/>
      <c r="DA32" s="8"/>
      <c r="DB32" s="7"/>
      <c r="DC32" s="10"/>
    </row>
    <row r="33" spans="2:107" s="13" customFormat="1">
      <c r="B33" s="8" t="s">
        <v>24</v>
      </c>
      <c r="C33" s="8"/>
      <c r="D33" s="7"/>
      <c r="E33" s="8"/>
      <c r="F33" s="7"/>
      <c r="G33" s="8"/>
      <c r="H33" s="7"/>
      <c r="I33" s="8"/>
      <c r="J33" s="7">
        <v>0</v>
      </c>
      <c r="K33" s="8"/>
      <c r="L33" s="7">
        <v>0</v>
      </c>
      <c r="M33" s="8"/>
      <c r="N33" s="7">
        <v>441516</v>
      </c>
      <c r="O33" s="8"/>
      <c r="P33" s="7">
        <v>1946519</v>
      </c>
      <c r="Q33" s="8"/>
      <c r="R33" s="7">
        <v>1154415.8689999999</v>
      </c>
      <c r="S33" s="8"/>
      <c r="T33" s="7">
        <v>954054.11800000002</v>
      </c>
      <c r="U33" s="8"/>
      <c r="V33" s="7">
        <v>0</v>
      </c>
      <c r="W33" s="8"/>
      <c r="X33" s="7">
        <v>0</v>
      </c>
      <c r="Y33" s="8"/>
      <c r="Z33" s="7">
        <v>45049</v>
      </c>
      <c r="AA33" s="8"/>
      <c r="AB33" s="7">
        <v>243244</v>
      </c>
      <c r="AC33" s="8"/>
      <c r="AD33" s="7">
        <v>185670</v>
      </c>
      <c r="AE33" s="8"/>
      <c r="AF33" s="7">
        <v>0</v>
      </c>
      <c r="AG33" s="8"/>
      <c r="AH33" s="7">
        <v>23351</v>
      </c>
      <c r="AI33" s="8"/>
      <c r="AJ33" s="7">
        <v>0</v>
      </c>
      <c r="AK33" s="8"/>
      <c r="AL33" s="7">
        <v>117707</v>
      </c>
      <c r="AM33" s="8"/>
      <c r="AN33" s="7">
        <v>117707</v>
      </c>
      <c r="AO33" s="8"/>
      <c r="AP33" s="7">
        <v>0</v>
      </c>
      <c r="AQ33" s="7"/>
      <c r="AR33" s="7">
        <v>0</v>
      </c>
      <c r="AS33" s="8"/>
      <c r="AT33" s="7">
        <v>0</v>
      </c>
      <c r="AU33" s="8"/>
      <c r="AV33" s="7">
        <v>0</v>
      </c>
      <c r="AW33" s="8"/>
      <c r="AX33" s="7">
        <v>0</v>
      </c>
      <c r="AY33" s="8"/>
      <c r="AZ33" s="7">
        <v>0</v>
      </c>
      <c r="BA33" s="8"/>
      <c r="BB33" s="7">
        <v>0</v>
      </c>
      <c r="BC33" s="8"/>
      <c r="BD33" s="7">
        <v>820504</v>
      </c>
      <c r="BE33" s="8"/>
      <c r="BF33" s="7">
        <v>808979</v>
      </c>
      <c r="BG33" s="8"/>
      <c r="BH33" s="7">
        <v>841879</v>
      </c>
      <c r="BI33" s="8"/>
      <c r="BJ33" s="7">
        <v>7797</v>
      </c>
      <c r="BK33" s="8"/>
      <c r="BL33" s="7">
        <v>33044</v>
      </c>
      <c r="BM33" s="8"/>
      <c r="BN33" s="7">
        <v>0</v>
      </c>
      <c r="BO33" s="8"/>
      <c r="BP33" s="7">
        <v>0</v>
      </c>
      <c r="BQ33" s="8"/>
      <c r="BR33" s="7">
        <v>0</v>
      </c>
      <c r="BS33" s="8"/>
      <c r="BT33" s="7">
        <v>110487</v>
      </c>
      <c r="BU33" s="8"/>
      <c r="BV33" s="7">
        <v>79464</v>
      </c>
      <c r="BW33" s="8"/>
      <c r="BX33" s="7">
        <v>61254</v>
      </c>
      <c r="BY33" s="8"/>
      <c r="BZ33" s="7">
        <v>5481</v>
      </c>
      <c r="CA33" s="8"/>
      <c r="CB33" s="7">
        <v>28082</v>
      </c>
      <c r="CC33" s="8"/>
      <c r="CD33" s="7">
        <v>0</v>
      </c>
      <c r="CE33" s="8"/>
      <c r="CF33" s="7">
        <v>759492</v>
      </c>
      <c r="CG33" s="8"/>
      <c r="CH33" s="7">
        <v>474679</v>
      </c>
      <c r="CI33" s="8"/>
      <c r="CJ33" s="7">
        <v>491587.84000000003</v>
      </c>
      <c r="CK33" s="8"/>
      <c r="CL33" s="7">
        <v>308974.83999999997</v>
      </c>
      <c r="CM33" s="8"/>
      <c r="CN33" s="7">
        <v>143396</v>
      </c>
      <c r="CO33" s="8"/>
      <c r="CP33" s="7">
        <v>154120</v>
      </c>
      <c r="CQ33" s="12"/>
      <c r="CR33" s="7">
        <v>57358</v>
      </c>
      <c r="CS33" s="8"/>
      <c r="CT33" s="7">
        <v>0</v>
      </c>
      <c r="CU33" s="8"/>
      <c r="CV33" s="7">
        <v>95276</v>
      </c>
      <c r="CW33" s="12"/>
      <c r="CX33" s="7">
        <v>59440.06</v>
      </c>
      <c r="CY33" s="12"/>
      <c r="CZ33" s="7">
        <v>0</v>
      </c>
      <c r="DA33" s="8"/>
      <c r="DB33" s="7">
        <v>40893</v>
      </c>
      <c r="DC33" s="8"/>
    </row>
    <row r="34" spans="2:107">
      <c r="B34" s="8" t="s">
        <v>20</v>
      </c>
      <c r="C34" s="8"/>
      <c r="D34" s="7"/>
      <c r="E34" s="8"/>
      <c r="F34" s="7"/>
      <c r="G34" s="8"/>
      <c r="H34" s="7"/>
      <c r="I34" s="8"/>
      <c r="J34" s="7">
        <v>2112706.1365410001</v>
      </c>
      <c r="K34" s="8"/>
      <c r="L34" s="7">
        <v>1527103.4766999995</v>
      </c>
      <c r="M34" s="8"/>
      <c r="N34" s="7">
        <v>1434616.3184759996</v>
      </c>
      <c r="O34" s="8"/>
      <c r="P34" s="7">
        <v>1006300.8047000002</v>
      </c>
      <c r="Q34" s="8"/>
      <c r="R34" s="7">
        <v>2118780.130202</v>
      </c>
      <c r="S34" s="8"/>
      <c r="T34" s="7">
        <v>1392764.1998169993</v>
      </c>
      <c r="U34" s="8"/>
      <c r="V34" s="7">
        <v>2437829.0987499999</v>
      </c>
      <c r="W34" s="8"/>
      <c r="X34" s="7">
        <v>2902522.1218449995</v>
      </c>
      <c r="Y34" s="8"/>
      <c r="Z34" s="7">
        <v>1766305.406918</v>
      </c>
      <c r="AA34" s="8"/>
      <c r="AB34" s="7">
        <v>1297304.43</v>
      </c>
      <c r="AC34" s="8"/>
      <c r="AD34" s="7">
        <v>1263621.1798320001</v>
      </c>
      <c r="AE34" s="8"/>
      <c r="AF34" s="7">
        <v>986950.09982899996</v>
      </c>
      <c r="AG34" s="8"/>
      <c r="AH34" s="7">
        <v>555306.53</v>
      </c>
      <c r="AI34" s="8"/>
      <c r="AJ34" s="7">
        <v>856890.03000000014</v>
      </c>
      <c r="AK34" s="8"/>
      <c r="AL34" s="7">
        <v>354744.77</v>
      </c>
      <c r="AM34" s="8"/>
      <c r="AN34" s="7">
        <v>410615.17</v>
      </c>
      <c r="AO34" s="8"/>
      <c r="AP34" s="7">
        <v>440861.48000000004</v>
      </c>
      <c r="AQ34" s="7"/>
      <c r="AR34" s="7">
        <v>725886.20000000007</v>
      </c>
      <c r="AS34" s="8"/>
      <c r="AT34" s="7">
        <v>468083.20999999996</v>
      </c>
      <c r="AU34" s="8"/>
      <c r="AV34" s="7">
        <v>386178.42000000004</v>
      </c>
      <c r="AW34" s="8"/>
      <c r="AX34" s="7">
        <v>307249.95000000007</v>
      </c>
      <c r="AY34" s="8"/>
      <c r="AZ34" s="7">
        <v>376651.30000000005</v>
      </c>
      <c r="BA34" s="8"/>
      <c r="BB34" s="7">
        <v>256225.98999999996</v>
      </c>
      <c r="BC34" s="8"/>
      <c r="BD34" s="7">
        <v>304961.50539291999</v>
      </c>
      <c r="BE34" s="8"/>
      <c r="BF34" s="7">
        <v>282579.69539292</v>
      </c>
      <c r="BG34" s="8"/>
      <c r="BH34" s="7">
        <v>453151.28539292002</v>
      </c>
      <c r="BI34" s="8"/>
      <c r="BJ34" s="7">
        <v>199862.81999999998</v>
      </c>
      <c r="BK34" s="8"/>
      <c r="BL34" s="7">
        <v>191199.51999999996</v>
      </c>
      <c r="BM34" s="8"/>
      <c r="BN34" s="7">
        <v>180414.91999999995</v>
      </c>
      <c r="BO34" s="8"/>
      <c r="BP34" s="7">
        <v>274672.94</v>
      </c>
      <c r="BQ34" s="8"/>
      <c r="BR34" s="7">
        <v>307892.73000000004</v>
      </c>
      <c r="BS34" s="8"/>
      <c r="BT34" s="7">
        <v>285252.70000000007</v>
      </c>
      <c r="BU34" s="8"/>
      <c r="BV34" s="7">
        <v>212184.83000000002</v>
      </c>
      <c r="BW34" s="8"/>
      <c r="BX34" s="7">
        <v>221676.22000000003</v>
      </c>
      <c r="BY34" s="8"/>
      <c r="BZ34" s="7">
        <v>301687.62</v>
      </c>
      <c r="CA34" s="8"/>
      <c r="CB34" s="7">
        <v>256514.28000000003</v>
      </c>
      <c r="CC34" s="8"/>
      <c r="CD34" s="7">
        <v>201620.64</v>
      </c>
      <c r="CE34" s="8"/>
      <c r="CF34" s="7">
        <v>242457.61</v>
      </c>
      <c r="CG34" s="8"/>
      <c r="CH34" s="7">
        <v>274130.05</v>
      </c>
      <c r="CI34" s="8"/>
      <c r="CJ34" s="7">
        <v>259101.25</v>
      </c>
      <c r="CK34" s="8"/>
      <c r="CL34" s="7">
        <v>324796.45999999996</v>
      </c>
      <c r="CM34" s="8"/>
      <c r="CN34" s="7">
        <v>379057.36999999976</v>
      </c>
      <c r="CO34" s="8"/>
      <c r="CP34" s="7">
        <v>566521.38000000047</v>
      </c>
      <c r="CR34" s="7">
        <v>715959.4600000002</v>
      </c>
      <c r="CS34" s="8"/>
      <c r="CT34" s="7">
        <v>241809.5000000002</v>
      </c>
      <c r="CU34" s="8"/>
      <c r="CV34" s="7">
        <v>168599.81999999972</v>
      </c>
      <c r="CX34" s="7">
        <v>214267.46000000002</v>
      </c>
      <c r="CZ34" s="7">
        <v>383911.49999999959</v>
      </c>
      <c r="DA34" s="8"/>
      <c r="DB34" s="7">
        <v>130570.76</v>
      </c>
      <c r="DC34" s="8"/>
    </row>
    <row r="35" spans="2:107">
      <c r="B35" s="8" t="s">
        <v>25</v>
      </c>
      <c r="C35" s="8"/>
      <c r="D35" s="7"/>
      <c r="E35" s="8"/>
      <c r="F35" s="7"/>
      <c r="G35" s="8"/>
      <c r="H35" s="7"/>
      <c r="I35" s="8"/>
      <c r="J35" s="7">
        <v>187497590.524299</v>
      </c>
      <c r="K35" s="8"/>
      <c r="L35" s="7">
        <v>84331669.114999995</v>
      </c>
      <c r="M35" s="8"/>
      <c r="N35" s="7">
        <v>76665366.916416034</v>
      </c>
      <c r="O35" s="8"/>
      <c r="P35" s="7">
        <v>71629244.534500003</v>
      </c>
      <c r="Q35" s="8"/>
      <c r="R35" s="7">
        <v>173894656.95646802</v>
      </c>
      <c r="S35" s="8"/>
      <c r="T35" s="7">
        <v>62663190.442025013</v>
      </c>
      <c r="U35" s="8"/>
      <c r="V35" s="7">
        <v>20740029.291250017</v>
      </c>
      <c r="W35" s="8"/>
      <c r="X35" s="7">
        <v>25961339.693122983</v>
      </c>
      <c r="Y35" s="8"/>
      <c r="Z35" s="7">
        <v>29165115.517378002</v>
      </c>
      <c r="AA35" s="8"/>
      <c r="AB35" s="7">
        <v>9678540.3792200014</v>
      </c>
      <c r="AC35" s="8"/>
      <c r="AD35" s="7">
        <v>11150266.606076</v>
      </c>
      <c r="AE35" s="8"/>
      <c r="AF35" s="7">
        <v>9166665.6139760017</v>
      </c>
      <c r="AG35" s="8"/>
      <c r="AH35" s="7">
        <v>32821552.32</v>
      </c>
      <c r="AI35" s="8"/>
      <c r="AJ35" s="7">
        <v>18270397.110000003</v>
      </c>
      <c r="AK35" s="8"/>
      <c r="AL35" s="7">
        <v>13391525.49</v>
      </c>
      <c r="AM35" s="8"/>
      <c r="AN35" s="7">
        <v>13995606.16</v>
      </c>
      <c r="AO35" s="8"/>
      <c r="AP35" s="7">
        <v>22502408.149999999</v>
      </c>
      <c r="AQ35" s="7"/>
      <c r="AR35" s="7">
        <v>10868001.710000001</v>
      </c>
      <c r="AS35" s="8"/>
      <c r="AT35" s="7">
        <v>7533388.9900000002</v>
      </c>
      <c r="AU35" s="8"/>
      <c r="AV35" s="7">
        <v>5034551.0500000007</v>
      </c>
      <c r="AW35" s="8"/>
      <c r="AX35" s="7">
        <v>18261613.420000002</v>
      </c>
      <c r="AY35" s="8"/>
      <c r="AZ35" s="7">
        <v>8552514.2699999996</v>
      </c>
      <c r="BA35" s="8"/>
      <c r="BB35" s="7">
        <v>4905935.54</v>
      </c>
      <c r="BC35" s="8"/>
      <c r="BD35" s="7">
        <v>15012552.9</v>
      </c>
      <c r="BE35" s="8"/>
      <c r="BF35" s="7">
        <v>30490463.689999998</v>
      </c>
      <c r="BG35" s="8"/>
      <c r="BH35" s="7">
        <v>5291508.4400000004</v>
      </c>
      <c r="BI35" s="8"/>
      <c r="BJ35" s="7">
        <v>2129327.5900000003</v>
      </c>
      <c r="BK35" s="8"/>
      <c r="BL35" s="7">
        <v>2265758.23</v>
      </c>
      <c r="BM35" s="8"/>
      <c r="BN35" s="7">
        <v>19516117.68</v>
      </c>
      <c r="BO35" s="8"/>
      <c r="BP35" s="7">
        <v>6147598.25</v>
      </c>
      <c r="BQ35" s="8"/>
      <c r="BR35" s="7">
        <v>2940787.46</v>
      </c>
      <c r="BS35" s="8"/>
      <c r="BT35" s="7">
        <v>2659349.9900000002</v>
      </c>
      <c r="BU35" s="8"/>
      <c r="BV35" s="7">
        <v>8082755.04</v>
      </c>
      <c r="BW35" s="8"/>
      <c r="BX35" s="7">
        <v>5396325.2799999993</v>
      </c>
      <c r="BY35" s="8"/>
      <c r="BZ35" s="7">
        <v>10736759.6</v>
      </c>
      <c r="CA35" s="8"/>
      <c r="CB35" s="7">
        <v>11369943.34</v>
      </c>
      <c r="CC35" s="8"/>
      <c r="CD35" s="7">
        <v>20105036.82</v>
      </c>
      <c r="CE35" s="8"/>
      <c r="CF35" s="7">
        <v>14014889.449999999</v>
      </c>
      <c r="CG35" s="8"/>
      <c r="CH35" s="7">
        <v>4210920.99</v>
      </c>
      <c r="CI35" s="8"/>
      <c r="CJ35" s="7">
        <v>13932288.040000001</v>
      </c>
      <c r="CK35" s="8"/>
      <c r="CL35" s="7">
        <v>30770211</v>
      </c>
      <c r="CM35" s="8"/>
      <c r="CN35" s="7">
        <v>11583943.73</v>
      </c>
      <c r="CO35" s="8"/>
      <c r="CP35" s="7">
        <v>17145266.780000001</v>
      </c>
      <c r="CR35" s="7">
        <v>18182062.279999997</v>
      </c>
      <c r="CS35" s="8"/>
      <c r="CT35" s="7">
        <v>32887229.719999999</v>
      </c>
      <c r="CU35" s="8"/>
      <c r="CV35" s="7">
        <v>448593.89</v>
      </c>
      <c r="CX35" s="7">
        <v>671413.86</v>
      </c>
      <c r="CZ35" s="7">
        <v>12957165.66</v>
      </c>
      <c r="DA35" s="8"/>
      <c r="DB35" s="7">
        <v>16667160.509999998</v>
      </c>
      <c r="DC35" s="8"/>
    </row>
    <row r="36" spans="2:107">
      <c r="B36" s="9"/>
      <c r="C36" s="9"/>
      <c r="D36" s="7"/>
      <c r="E36" s="9"/>
      <c r="F36" s="7"/>
      <c r="G36" s="9"/>
      <c r="H36" s="7"/>
      <c r="I36" s="9"/>
      <c r="J36" s="7"/>
      <c r="K36" s="9"/>
      <c r="L36" s="7"/>
      <c r="M36" s="9"/>
      <c r="N36" s="7"/>
      <c r="O36" s="9"/>
      <c r="P36" s="7"/>
      <c r="Q36" s="9"/>
      <c r="R36" s="7"/>
      <c r="S36" s="9"/>
      <c r="T36" s="7"/>
      <c r="U36" s="9"/>
      <c r="V36" s="7"/>
      <c r="W36" s="9"/>
      <c r="X36" s="7"/>
      <c r="Y36" s="9"/>
      <c r="Z36" s="7"/>
      <c r="AA36" s="9"/>
      <c r="AB36" s="7"/>
      <c r="AC36" s="9"/>
      <c r="AD36" s="7">
        <v>0</v>
      </c>
      <c r="AE36" s="9"/>
      <c r="AF36" s="7">
        <v>0</v>
      </c>
      <c r="AG36" s="9"/>
      <c r="AH36" s="7"/>
      <c r="AI36" s="9"/>
      <c r="AJ36" s="7"/>
      <c r="AK36" s="9"/>
      <c r="AL36" s="7">
        <v>0</v>
      </c>
      <c r="AM36" s="9"/>
      <c r="AN36" s="7">
        <v>0</v>
      </c>
      <c r="AO36" s="9"/>
      <c r="AP36" s="7"/>
      <c r="AQ36" s="7"/>
      <c r="AR36" s="7"/>
      <c r="AS36" s="9"/>
      <c r="AT36" s="7">
        <v>0</v>
      </c>
      <c r="AU36" s="9"/>
      <c r="AV36" s="7">
        <v>0</v>
      </c>
      <c r="AW36" s="9"/>
      <c r="AX36" s="7">
        <v>0</v>
      </c>
      <c r="AY36" s="9"/>
      <c r="AZ36" s="7"/>
      <c r="BA36" s="9"/>
      <c r="BB36" s="7"/>
      <c r="BC36" s="9"/>
      <c r="BD36" s="7"/>
      <c r="BE36" s="9"/>
      <c r="BF36" s="7"/>
      <c r="BG36" s="9"/>
      <c r="BH36" s="7"/>
      <c r="BI36" s="9"/>
      <c r="BJ36" s="7">
        <v>0</v>
      </c>
      <c r="BK36" s="9"/>
      <c r="BL36" s="7">
        <v>0</v>
      </c>
      <c r="BM36" s="9"/>
      <c r="BN36" s="7">
        <v>0</v>
      </c>
      <c r="BO36" s="9"/>
      <c r="BP36" s="7">
        <v>0</v>
      </c>
      <c r="BQ36" s="9"/>
      <c r="BR36" s="7"/>
      <c r="BS36" s="9"/>
      <c r="BT36" s="7"/>
      <c r="BU36" s="9"/>
      <c r="BV36" s="7"/>
      <c r="BW36" s="9"/>
      <c r="BX36" s="7"/>
      <c r="BY36" s="9"/>
      <c r="BZ36" s="7"/>
      <c r="CA36" s="9"/>
      <c r="CB36" s="7"/>
      <c r="CC36" s="9"/>
      <c r="CD36" s="7"/>
      <c r="CE36" s="9"/>
      <c r="CF36" s="7"/>
      <c r="CG36" s="9"/>
      <c r="CH36" s="7"/>
      <c r="CI36" s="9"/>
      <c r="CJ36" s="7"/>
      <c r="CK36" s="9"/>
      <c r="CL36" s="7"/>
      <c r="CM36" s="9"/>
      <c r="CN36" s="7"/>
      <c r="CO36" s="9"/>
      <c r="CP36" s="7"/>
      <c r="CQ36" s="6"/>
      <c r="CR36" s="7"/>
      <c r="CS36" s="9"/>
      <c r="CT36" s="7"/>
      <c r="CU36" s="9"/>
      <c r="CV36" s="7"/>
      <c r="CW36" s="6"/>
      <c r="CX36" s="7"/>
      <c r="CY36" s="6"/>
      <c r="CZ36" s="7"/>
      <c r="DA36" s="9"/>
      <c r="DB36" s="7"/>
      <c r="DC36" s="9"/>
    </row>
    <row r="37" spans="2:107">
      <c r="B37" s="9" t="s">
        <v>26</v>
      </c>
      <c r="C37" s="9"/>
      <c r="D37" s="7"/>
      <c r="E37" s="9"/>
      <c r="F37" s="7"/>
      <c r="G37" s="9"/>
      <c r="H37" s="7"/>
      <c r="I37" s="9"/>
      <c r="J37" s="7">
        <v>0</v>
      </c>
      <c r="K37" s="9"/>
      <c r="L37" s="7">
        <v>0</v>
      </c>
      <c r="M37" s="9"/>
      <c r="N37" s="7">
        <v>0</v>
      </c>
      <c r="O37" s="9"/>
      <c r="P37" s="7">
        <v>0</v>
      </c>
      <c r="Q37" s="9"/>
      <c r="R37" s="7">
        <v>0</v>
      </c>
      <c r="S37" s="9"/>
      <c r="T37" s="7">
        <v>0</v>
      </c>
      <c r="U37" s="9"/>
      <c r="V37" s="7">
        <v>0</v>
      </c>
      <c r="W37" s="9"/>
      <c r="X37" s="7">
        <v>0</v>
      </c>
      <c r="Y37" s="9"/>
      <c r="Z37" s="7">
        <v>0</v>
      </c>
      <c r="AA37" s="9"/>
      <c r="AB37" s="7">
        <v>0</v>
      </c>
      <c r="AC37" s="9"/>
      <c r="AD37" s="7">
        <v>0</v>
      </c>
      <c r="AE37" s="9"/>
      <c r="AF37" s="7">
        <v>0</v>
      </c>
      <c r="AG37" s="9"/>
      <c r="AH37" s="7">
        <v>0</v>
      </c>
      <c r="AI37" s="9"/>
      <c r="AJ37" s="7">
        <v>0</v>
      </c>
      <c r="AK37" s="9"/>
      <c r="AL37" s="7">
        <v>0</v>
      </c>
      <c r="AM37" s="9"/>
      <c r="AN37" s="7">
        <v>0</v>
      </c>
      <c r="AO37" s="9"/>
      <c r="AP37" s="7">
        <v>0</v>
      </c>
      <c r="AQ37" s="7"/>
      <c r="AR37" s="7">
        <v>0</v>
      </c>
      <c r="AS37" s="9"/>
      <c r="AT37" s="7">
        <v>0</v>
      </c>
      <c r="AU37" s="9"/>
      <c r="AV37" s="7">
        <v>0</v>
      </c>
      <c r="AW37" s="9"/>
      <c r="AX37" s="7">
        <v>0</v>
      </c>
      <c r="AY37" s="9"/>
      <c r="AZ37" s="7">
        <v>0</v>
      </c>
      <c r="BA37" s="9"/>
      <c r="BB37" s="7">
        <v>0</v>
      </c>
      <c r="BC37" s="9"/>
      <c r="BD37" s="7"/>
      <c r="BE37" s="9"/>
      <c r="BF37" s="7"/>
      <c r="BG37" s="9"/>
      <c r="BH37" s="7"/>
      <c r="BI37" s="9"/>
      <c r="BJ37" s="7">
        <v>0</v>
      </c>
      <c r="BK37" s="9"/>
      <c r="BL37" s="7">
        <v>0</v>
      </c>
      <c r="BM37" s="9"/>
      <c r="BN37" s="7">
        <v>0</v>
      </c>
      <c r="BO37" s="9"/>
      <c r="BP37" s="7">
        <v>0</v>
      </c>
      <c r="BQ37" s="9"/>
      <c r="BR37" s="7">
        <v>0</v>
      </c>
      <c r="BS37" s="9"/>
      <c r="BT37" s="7">
        <v>0</v>
      </c>
      <c r="BU37" s="9"/>
      <c r="BV37" s="7">
        <v>0</v>
      </c>
      <c r="BW37" s="9"/>
      <c r="BX37" s="7">
        <v>0</v>
      </c>
      <c r="BY37" s="9"/>
      <c r="BZ37" s="7">
        <v>0</v>
      </c>
      <c r="CA37" s="9"/>
      <c r="CB37" s="7">
        <v>0</v>
      </c>
      <c r="CC37" s="9"/>
      <c r="CD37" s="7"/>
      <c r="CE37" s="9"/>
      <c r="CF37" s="7">
        <v>0</v>
      </c>
      <c r="CG37" s="9"/>
      <c r="CH37" s="7">
        <v>0</v>
      </c>
      <c r="CI37" s="9"/>
      <c r="CJ37" s="7">
        <v>0</v>
      </c>
      <c r="CK37" s="9"/>
      <c r="CL37" s="7"/>
      <c r="CM37" s="9"/>
      <c r="CN37" s="7">
        <v>0</v>
      </c>
      <c r="CO37" s="9"/>
      <c r="CP37" s="7">
        <v>0</v>
      </c>
      <c r="CQ37" s="8"/>
      <c r="CR37" s="7">
        <v>0</v>
      </c>
      <c r="CS37" s="9"/>
      <c r="CT37" s="7">
        <v>0</v>
      </c>
      <c r="CU37" s="9"/>
      <c r="CV37" s="7">
        <v>0</v>
      </c>
      <c r="CW37" s="8"/>
      <c r="CX37" s="7">
        <v>0</v>
      </c>
      <c r="CY37" s="8"/>
      <c r="CZ37" s="7">
        <v>0</v>
      </c>
      <c r="DA37" s="8"/>
      <c r="DB37" s="7">
        <v>0</v>
      </c>
      <c r="DC37" s="9"/>
    </row>
    <row r="38" spans="2:107">
      <c r="B38" s="9"/>
      <c r="C38" s="9"/>
      <c r="D38" s="7"/>
      <c r="E38" s="9"/>
      <c r="F38" s="7"/>
      <c r="G38" s="9"/>
      <c r="H38" s="7"/>
      <c r="I38" s="9"/>
      <c r="J38" s="7"/>
      <c r="K38" s="9"/>
      <c r="L38" s="7"/>
      <c r="M38" s="9"/>
      <c r="N38" s="7"/>
      <c r="O38" s="9"/>
      <c r="P38" s="7"/>
      <c r="Q38" s="9"/>
      <c r="R38" s="7"/>
      <c r="S38" s="9"/>
      <c r="T38" s="7"/>
      <c r="U38" s="9"/>
      <c r="V38" s="7"/>
      <c r="W38" s="9"/>
      <c r="X38" s="7"/>
      <c r="Y38" s="9"/>
      <c r="Z38" s="7"/>
      <c r="AA38" s="9"/>
      <c r="AB38" s="7"/>
      <c r="AC38" s="9"/>
      <c r="AD38" s="7"/>
      <c r="AE38" s="9"/>
      <c r="AF38" s="7"/>
      <c r="AG38" s="9"/>
      <c r="AH38" s="7"/>
      <c r="AI38" s="9"/>
      <c r="AJ38" s="7"/>
      <c r="AK38" s="9"/>
      <c r="AL38" s="7"/>
      <c r="AM38" s="9"/>
      <c r="AN38" s="7"/>
      <c r="AO38" s="9"/>
      <c r="AP38" s="7"/>
      <c r="AQ38" s="7"/>
      <c r="AR38" s="7"/>
      <c r="AS38" s="9"/>
      <c r="AT38" s="7"/>
      <c r="AU38" s="9"/>
      <c r="AV38" s="7"/>
      <c r="AW38" s="9"/>
      <c r="AX38" s="7"/>
      <c r="AY38" s="9"/>
      <c r="AZ38" s="7"/>
      <c r="BA38" s="9"/>
      <c r="BB38" s="7"/>
      <c r="BC38" s="9"/>
      <c r="BD38" s="7"/>
      <c r="BE38" s="9"/>
      <c r="BF38" s="7"/>
      <c r="BG38" s="9"/>
      <c r="BH38" s="7"/>
      <c r="BI38" s="9"/>
      <c r="BJ38" s="7"/>
      <c r="BK38" s="9"/>
      <c r="BL38" s="7"/>
      <c r="BM38" s="9"/>
      <c r="BN38" s="7"/>
      <c r="BO38" s="9"/>
      <c r="BP38" s="7"/>
      <c r="BQ38" s="9"/>
      <c r="BR38" s="7"/>
      <c r="BS38" s="9"/>
      <c r="BT38" s="7"/>
      <c r="BU38" s="9"/>
      <c r="BV38" s="7"/>
      <c r="BW38" s="9"/>
      <c r="BX38" s="7"/>
      <c r="BY38" s="9"/>
      <c r="BZ38" s="7"/>
      <c r="CA38" s="9"/>
      <c r="CB38" s="7"/>
      <c r="CC38" s="9"/>
      <c r="CD38" s="7"/>
      <c r="CE38" s="9"/>
      <c r="CF38" s="7"/>
      <c r="CG38" s="9"/>
      <c r="CH38" s="7"/>
      <c r="CI38" s="9"/>
      <c r="CJ38" s="7"/>
      <c r="CK38" s="9"/>
      <c r="CL38" s="7"/>
      <c r="CM38" s="9"/>
      <c r="CN38" s="7"/>
      <c r="CO38" s="9"/>
      <c r="CP38" s="7"/>
      <c r="CQ38" s="8"/>
      <c r="CR38" s="7"/>
      <c r="CS38" s="9"/>
      <c r="CT38" s="7"/>
      <c r="CU38" s="9"/>
      <c r="CV38" s="7"/>
      <c r="CW38" s="8"/>
      <c r="CX38" s="7"/>
      <c r="CY38" s="8"/>
      <c r="CZ38" s="7"/>
      <c r="DA38" s="9"/>
      <c r="DB38" s="7"/>
      <c r="DC38" s="9"/>
    </row>
    <row r="39" spans="2:107">
      <c r="B39" s="6" t="s">
        <v>27</v>
      </c>
      <c r="C39" s="6"/>
      <c r="D39" s="11"/>
      <c r="E39" s="6"/>
      <c r="F39" s="11"/>
      <c r="G39" s="6"/>
      <c r="H39" s="11"/>
      <c r="I39" s="6"/>
      <c r="J39" s="11">
        <f>SUM(J24:J37)</f>
        <v>319091886.93107092</v>
      </c>
      <c r="K39" s="6"/>
      <c r="L39" s="11">
        <f>SUM(L24:L37)</f>
        <v>212285617.08380002</v>
      </c>
      <c r="M39" s="6"/>
      <c r="N39" s="11">
        <f>SUM(N24:N37)</f>
        <v>202928910.72964802</v>
      </c>
      <c r="O39" s="6"/>
      <c r="P39" s="11">
        <f>SUM(P24:P37)</f>
        <v>179580243.48839998</v>
      </c>
      <c r="Q39" s="6"/>
      <c r="R39" s="11">
        <f>SUM(R24:R37)</f>
        <v>259310735.23062599</v>
      </c>
      <c r="S39" s="6"/>
      <c r="T39" s="11">
        <f>SUM(T24:T37)</f>
        <v>168624357.46023101</v>
      </c>
      <c r="U39" s="6"/>
      <c r="V39" s="11">
        <f>SUM(V24:V37)</f>
        <v>129064967.83687499</v>
      </c>
      <c r="W39" s="6"/>
      <c r="X39" s="11">
        <f>SUM(X24:X37)</f>
        <v>116676651.19902897</v>
      </c>
      <c r="Y39" s="6"/>
      <c r="Z39" s="11">
        <f>SUM(Z24:Z37)</f>
        <v>107079129.18529999</v>
      </c>
      <c r="AA39" s="6"/>
      <c r="AB39" s="11">
        <f>SUM(AB24:AB37)</f>
        <v>109753058.58596</v>
      </c>
      <c r="AC39" s="6"/>
      <c r="AD39" s="11">
        <f>SUM(AD24:AD37)</f>
        <v>76719990.870969996</v>
      </c>
      <c r="AE39" s="6"/>
      <c r="AF39" s="11">
        <f>SUM(AF24:AF37)</f>
        <v>76677233.130487993</v>
      </c>
      <c r="AG39" s="6"/>
      <c r="AH39" s="11">
        <f>SUM(AH24:AH37)</f>
        <v>73542325.840000004</v>
      </c>
      <c r="AI39" s="6"/>
      <c r="AJ39" s="11">
        <f>SUM(AJ24:AJ37)</f>
        <v>63943729.49000001</v>
      </c>
      <c r="AK39" s="6"/>
      <c r="AL39" s="11">
        <f>SUM(AL24:AL37)</f>
        <v>44901088.469999999</v>
      </c>
      <c r="AM39" s="6"/>
      <c r="AN39" s="11">
        <f>SUM(AN24:AN37)</f>
        <v>42597200.200000003</v>
      </c>
      <c r="AO39" s="6"/>
      <c r="AP39" s="11">
        <f>SUM(AP24:AP37)</f>
        <v>49512755.929999992</v>
      </c>
      <c r="AQ39" s="11"/>
      <c r="AR39" s="11">
        <f>SUM(AR24:AR37)</f>
        <v>48709005.940000005</v>
      </c>
      <c r="AS39" s="6"/>
      <c r="AT39" s="11">
        <f>SUM(AT24:AT37)</f>
        <v>31815337.530000001</v>
      </c>
      <c r="AU39" s="6"/>
      <c r="AV39" s="11">
        <f>SUM(AV24:AV26,AV33:AV35,AV37)</f>
        <v>50937748.379999995</v>
      </c>
      <c r="AW39" s="6"/>
      <c r="AX39" s="11">
        <f>SUM(AX24:AX26,AX33:AX35,AX37)</f>
        <v>59713501.790000007</v>
      </c>
      <c r="AY39" s="6"/>
      <c r="AZ39" s="11">
        <f>SUM(AZ24:AZ26,AZ33:AZ35,AZ37)</f>
        <v>39776123.349999994</v>
      </c>
      <c r="BA39" s="6"/>
      <c r="BB39" s="11">
        <f>SUM(BB24:BB26,BB33:BB35,BB37)</f>
        <v>28992366.919999994</v>
      </c>
      <c r="BC39" s="6"/>
      <c r="BD39" s="11">
        <f>SUM(BD24:BD26,BD33:BD35,BD37)</f>
        <v>40031535.115392923</v>
      </c>
      <c r="BE39" s="6"/>
      <c r="BF39" s="11">
        <f>SUM(BF24:BF26,BF33:BF35,BF37)</f>
        <v>60327485.905392915</v>
      </c>
      <c r="BG39" s="6"/>
      <c r="BH39" s="11">
        <f>SUM(BH24:BH26,BH33:BH35,BH37)</f>
        <v>28596719.075392924</v>
      </c>
      <c r="BI39" s="6"/>
      <c r="BJ39" s="11">
        <f>SUM(BJ24:BJ26,BJ33:BJ35,BJ37)</f>
        <v>19936320.319999997</v>
      </c>
      <c r="BK39" s="6"/>
      <c r="BL39" s="11">
        <f>SUM(BL24:BL26,BL33:BL35,BL37)</f>
        <v>23648314.127424952</v>
      </c>
      <c r="BM39" s="6"/>
      <c r="BN39" s="11">
        <f>SUM(BN24:BN26,BN33:BN35,BN37)</f>
        <v>42913762.359999999</v>
      </c>
      <c r="BO39" s="6"/>
      <c r="BP39" s="11">
        <f>SUM(BP24:BP26,BP33:BP35,BP37)</f>
        <v>26734143.030000001</v>
      </c>
      <c r="BQ39" s="6"/>
      <c r="BR39" s="11">
        <f>SUM(BR24:BR26,BR33:BR35,BR37)</f>
        <v>19091223.25</v>
      </c>
      <c r="BS39" s="6"/>
      <c r="BT39" s="11">
        <f>SUM(BT24:BT26,BT33:BT35,BT37)</f>
        <v>18181842.879999995</v>
      </c>
      <c r="BU39" s="6"/>
      <c r="BV39" s="11">
        <f>SUM(BV24:BV26,BV33:BV35,BV37)</f>
        <v>24928116.23</v>
      </c>
      <c r="BW39" s="6"/>
      <c r="BX39" s="11">
        <f>SUM(BX24:BX26,BX33:BX35,BX37)</f>
        <v>28492026.319999993</v>
      </c>
      <c r="BY39" s="6"/>
      <c r="BZ39" s="11">
        <f>SUM(BZ24:BZ26,BZ33:BZ35,BZ37)</f>
        <v>25545524.649999999</v>
      </c>
      <c r="CA39" s="6"/>
      <c r="CB39" s="11">
        <f>SUM(CB24:CB26,CB33:CB35,CB37)</f>
        <v>25032599.399999999</v>
      </c>
      <c r="CC39" s="6"/>
      <c r="CD39" s="11">
        <f>SUM(CD24:CD26,CD33:CD35,CD37)</f>
        <v>42278968.07</v>
      </c>
      <c r="CE39" s="6"/>
      <c r="CF39" s="11">
        <f>SUM(CF24:CF26,CF33:CF35,CF37)</f>
        <v>48265669.329999998</v>
      </c>
      <c r="CG39" s="6"/>
      <c r="CH39" s="11">
        <f>SUM(CH24:CH26,CH33:CH35,CH37)</f>
        <v>21142761.260000005</v>
      </c>
      <c r="CI39" s="6"/>
      <c r="CJ39" s="11">
        <f>SUM(CJ24:CJ26,CJ33:CJ35,CJ37)</f>
        <v>35911045.960000001</v>
      </c>
      <c r="CK39" s="6"/>
      <c r="CL39" s="11">
        <f>SUM(CL24:CL26,CL33:CL35,CL37)</f>
        <v>52899730.290000007</v>
      </c>
      <c r="CM39" s="6"/>
      <c r="CN39" s="11">
        <f>SUM(CN24:CN26,CN33:CN35,CN37)</f>
        <v>52467694.389999986</v>
      </c>
      <c r="CO39" s="6"/>
      <c r="CP39" s="11">
        <f>SUM(CP24:CP26,CP33:CP35,CP37)</f>
        <v>46834427.990000002</v>
      </c>
      <c r="CQ39" s="8"/>
      <c r="CR39" s="11">
        <f>SUM(CR24:CR26,CR33:CR35,CR37)</f>
        <v>43375178.019999996</v>
      </c>
      <c r="CS39" s="6"/>
      <c r="CT39" s="11">
        <f>SUM(CT24:CT26,CT33:CT35,CT37)</f>
        <v>59045837.399999999</v>
      </c>
      <c r="CU39" s="6"/>
      <c r="CV39" s="11">
        <f>SUM(CV24:CV26,CV33:CV35,CV37)</f>
        <v>27475792</v>
      </c>
      <c r="CW39" s="8"/>
      <c r="CX39" s="11">
        <f>SUM(CX24:CX26,CX33:CX35,CX37)</f>
        <v>18791762.109999992</v>
      </c>
      <c r="CY39" s="8"/>
      <c r="CZ39" s="11">
        <f>SUM(CZ24:CZ26,CZ33:CZ35,CZ37)</f>
        <v>37541997.469999999</v>
      </c>
      <c r="DA39" s="6"/>
      <c r="DB39" s="11">
        <f>SUM(DB24:DB26,DB33:DB35,DB37)</f>
        <v>26164117.559999995</v>
      </c>
      <c r="DC39" s="6"/>
    </row>
    <row r="40" spans="2:107">
      <c r="B40" s="8"/>
      <c r="C40" s="8"/>
      <c r="D40" s="7"/>
      <c r="E40" s="8"/>
      <c r="F40" s="7"/>
      <c r="G40" s="8"/>
      <c r="H40" s="7"/>
      <c r="I40" s="8"/>
      <c r="J40" s="7"/>
      <c r="K40" s="8"/>
      <c r="L40" s="7"/>
      <c r="M40" s="8"/>
      <c r="N40" s="7"/>
      <c r="O40" s="8"/>
      <c r="P40" s="7"/>
      <c r="Q40" s="8"/>
      <c r="R40" s="7"/>
      <c r="S40" s="8"/>
      <c r="T40" s="7"/>
      <c r="U40" s="8"/>
      <c r="V40" s="7"/>
      <c r="W40" s="8"/>
      <c r="X40" s="7"/>
      <c r="Y40" s="8"/>
      <c r="Z40" s="7"/>
      <c r="AA40" s="8"/>
      <c r="AB40" s="7"/>
      <c r="AC40" s="8"/>
      <c r="AD40" s="7"/>
      <c r="AE40" s="8"/>
      <c r="AF40" s="7"/>
      <c r="AG40" s="8"/>
      <c r="AH40" s="7"/>
      <c r="AI40" s="8"/>
      <c r="AJ40" s="7"/>
      <c r="AK40" s="8"/>
      <c r="AL40" s="7"/>
      <c r="AM40" s="8"/>
      <c r="AN40" s="7"/>
      <c r="AO40" s="8"/>
      <c r="AP40" s="7"/>
      <c r="AQ40" s="7"/>
      <c r="AR40" s="7"/>
      <c r="AS40" s="8"/>
      <c r="AT40" s="7"/>
      <c r="AU40" s="8"/>
      <c r="AV40" s="7"/>
      <c r="AW40" s="8"/>
      <c r="AX40" s="7"/>
      <c r="AY40" s="8"/>
      <c r="AZ40" s="7"/>
      <c r="BA40" s="8"/>
      <c r="BB40" s="7"/>
      <c r="BC40" s="8"/>
      <c r="BD40" s="7"/>
      <c r="BE40" s="8"/>
      <c r="BF40" s="7"/>
      <c r="BG40" s="8"/>
      <c r="BH40" s="7"/>
      <c r="BI40" s="8"/>
      <c r="BJ40" s="7"/>
      <c r="BK40" s="8"/>
      <c r="BL40" s="7"/>
      <c r="BM40" s="8"/>
      <c r="BN40" s="7"/>
      <c r="BO40" s="8"/>
      <c r="BP40" s="7"/>
      <c r="BQ40" s="8"/>
      <c r="BR40" s="7"/>
      <c r="BS40" s="8"/>
      <c r="BT40" s="7"/>
      <c r="BU40" s="8"/>
      <c r="BV40" s="7"/>
      <c r="BW40" s="8"/>
      <c r="BX40" s="7"/>
      <c r="BY40" s="8"/>
      <c r="BZ40" s="7"/>
      <c r="CA40" s="8"/>
      <c r="CB40" s="7"/>
      <c r="CC40" s="8"/>
      <c r="CD40" s="7"/>
      <c r="CE40" s="8"/>
      <c r="CF40" s="7"/>
      <c r="CG40" s="8"/>
      <c r="CH40" s="7"/>
      <c r="CI40" s="8"/>
      <c r="CJ40" s="7"/>
      <c r="CK40" s="8"/>
      <c r="CL40" s="7"/>
      <c r="CM40" s="8"/>
      <c r="CN40" s="7"/>
      <c r="CO40" s="8"/>
      <c r="CP40" s="7"/>
      <c r="CQ40" s="8"/>
      <c r="CR40" s="7"/>
      <c r="CS40" s="8"/>
      <c r="CT40" s="7"/>
      <c r="CU40" s="8"/>
      <c r="CV40" s="7"/>
      <c r="CW40" s="8"/>
      <c r="CX40" s="7"/>
      <c r="CY40" s="8"/>
      <c r="CZ40" s="7"/>
      <c r="DA40" s="8"/>
      <c r="DB40" s="7"/>
      <c r="DC40" s="8"/>
    </row>
    <row r="41" spans="2:107" ht="9.5" thickBot="1">
      <c r="B41" s="6" t="s">
        <v>28</v>
      </c>
      <c r="C41" s="6"/>
      <c r="D41" s="14"/>
      <c r="E41" s="6"/>
      <c r="F41" s="14"/>
      <c r="G41" s="6"/>
      <c r="H41" s="14"/>
      <c r="I41" s="6"/>
      <c r="J41" s="14">
        <f>J21+J39</f>
        <v>484980863.74526978</v>
      </c>
      <c r="K41" s="6"/>
      <c r="L41" s="14">
        <f>L21+L39</f>
        <v>375258439.58938104</v>
      </c>
      <c r="M41" s="6"/>
      <c r="N41" s="14">
        <f>N21+N39</f>
        <v>350556654.78903663</v>
      </c>
      <c r="O41" s="6"/>
      <c r="P41" s="14">
        <f>P21+P39</f>
        <v>322548397.0266763</v>
      </c>
      <c r="Q41" s="6"/>
      <c r="R41" s="14">
        <f>R21+R39</f>
        <v>397569475.40026248</v>
      </c>
      <c r="S41" s="6"/>
      <c r="T41" s="14">
        <f>T21+T39</f>
        <v>299915361.26356786</v>
      </c>
      <c r="U41" s="6"/>
      <c r="V41" s="14">
        <f>V21+V39</f>
        <v>259913733.46449333</v>
      </c>
      <c r="W41" s="6"/>
      <c r="X41" s="14">
        <f>X21+X39</f>
        <v>240265663.22965455</v>
      </c>
      <c r="Y41" s="6"/>
      <c r="Z41" s="14">
        <f>Z21+Z39</f>
        <v>234187948.46645415</v>
      </c>
      <c r="AA41" s="6"/>
      <c r="AB41" s="14">
        <f>AB21+AB39</f>
        <v>236480185.50373685</v>
      </c>
      <c r="AC41" s="6"/>
      <c r="AD41" s="14">
        <f>AD21+AD39</f>
        <v>202323059.29950982</v>
      </c>
      <c r="AE41" s="6"/>
      <c r="AF41" s="14">
        <f>AF21+AF39</f>
        <v>200468790.33748353</v>
      </c>
      <c r="AG41" s="6"/>
      <c r="AH41" s="14">
        <f>AH21+AH39</f>
        <v>165956383.69726938</v>
      </c>
      <c r="AI41" s="6"/>
      <c r="AJ41" s="14">
        <f>AJ21+AJ39</f>
        <v>159685491.68226665</v>
      </c>
      <c r="AK41" s="6"/>
      <c r="AL41" s="14">
        <f>AL21+AL39</f>
        <v>135670562.12863553</v>
      </c>
      <c r="AM41" s="6"/>
      <c r="AN41" s="14">
        <f>AN21+AN39</f>
        <v>134700452.42439497</v>
      </c>
      <c r="AO41" s="6"/>
      <c r="AP41" s="14">
        <f>AP21+AP39</f>
        <v>142333509.96905679</v>
      </c>
      <c r="AQ41" s="14"/>
      <c r="AR41" s="14">
        <f>AR21+AR39</f>
        <v>141612872.22485778</v>
      </c>
      <c r="AS41" s="6"/>
      <c r="AT41" s="14">
        <f>AT21+AT39</f>
        <v>120648494.11339316</v>
      </c>
      <c r="AU41" s="6"/>
      <c r="AV41" s="14">
        <f>AV21+AV39</f>
        <v>140464301.4994812</v>
      </c>
      <c r="AW41" s="6"/>
      <c r="AX41" s="14">
        <f>AX21+AX39</f>
        <v>149048460.63034666</v>
      </c>
      <c r="AY41" s="6"/>
      <c r="AZ41" s="14">
        <f>AZ21+AZ39</f>
        <v>125095826.73358817</v>
      </c>
      <c r="BA41" s="6"/>
      <c r="BB41" s="14">
        <f>BB21+BB39</f>
        <v>112119204.66216666</v>
      </c>
      <c r="BC41" s="6"/>
      <c r="BD41" s="14">
        <f>BD21+BD39</f>
        <v>121687033.94343492</v>
      </c>
      <c r="BE41" s="6"/>
      <c r="BF41" s="14">
        <f>BF21+BF39</f>
        <v>140550797.20293492</v>
      </c>
      <c r="BG41" s="6"/>
      <c r="BH41" s="14">
        <f>BH21+BH39</f>
        <v>108586537.81510833</v>
      </c>
      <c r="BI41" s="6"/>
      <c r="BJ41" s="14">
        <f>BJ21+BJ39</f>
        <v>119694717.26884706</v>
      </c>
      <c r="BK41" s="6"/>
      <c r="BL41" s="14">
        <f>BL21+BL39</f>
        <v>119174355.85845828</v>
      </c>
      <c r="BM41" s="6"/>
      <c r="BN41" s="14">
        <f>BN21+BN39</f>
        <v>115232611.57836874</v>
      </c>
      <c r="BO41" s="6"/>
      <c r="BP41" s="14">
        <f>BP21+BP39</f>
        <v>98344024.153283313</v>
      </c>
      <c r="BQ41" s="6"/>
      <c r="BR41" s="14">
        <f>BR21+BR39</f>
        <v>88930054.079500005</v>
      </c>
      <c r="BS41" s="6"/>
      <c r="BT41" s="14">
        <f>BT21+BT39</f>
        <v>86509517.219999999</v>
      </c>
      <c r="BU41" s="6"/>
      <c r="BV41" s="14">
        <f>BV21+BV39</f>
        <v>91446931.085000008</v>
      </c>
      <c r="BW41" s="6"/>
      <c r="BX41" s="14">
        <f>BX21+BX39</f>
        <v>93095267.399999976</v>
      </c>
      <c r="BY41" s="6"/>
      <c r="BZ41" s="14">
        <f>BZ21+BZ39</f>
        <v>89637647.159999996</v>
      </c>
      <c r="CA41" s="6"/>
      <c r="CB41" s="14">
        <f>CB21+CB39</f>
        <v>88965484.75</v>
      </c>
      <c r="CC41" s="6"/>
      <c r="CD41" s="14">
        <f>CD21+CD39</f>
        <v>104404344.215</v>
      </c>
      <c r="CE41" s="6"/>
      <c r="CF41" s="14">
        <f>CF21+CF39</f>
        <v>107479235.2</v>
      </c>
      <c r="CG41" s="6"/>
      <c r="CH41" s="14">
        <f>CH21+CH39</f>
        <v>79249458.38000001</v>
      </c>
      <c r="CI41" s="6"/>
      <c r="CJ41" s="14">
        <f>CJ21+CJ39</f>
        <v>92221485.670000017</v>
      </c>
      <c r="CK41" s="6"/>
      <c r="CL41" s="14">
        <f>CL21+CL39</f>
        <v>106273404.39000002</v>
      </c>
      <c r="CM41" s="6"/>
      <c r="CN41" s="14">
        <f>CN21+CN39</f>
        <v>103218644.28221561</v>
      </c>
      <c r="CO41" s="6"/>
      <c r="CP41" s="14">
        <f>CP21+CP39</f>
        <v>96908824.208148718</v>
      </c>
      <c r="CQ41" s="8"/>
      <c r="CR41" s="14">
        <f>CR21+CR39</f>
        <v>93016428.365362272</v>
      </c>
      <c r="CS41" s="6"/>
      <c r="CT41" s="14">
        <f>CT21+CT39</f>
        <v>102844801.54922408</v>
      </c>
      <c r="CU41" s="6"/>
      <c r="CV41" s="14">
        <f>CV21+CV39</f>
        <v>66538296.33874803</v>
      </c>
      <c r="CW41" s="8"/>
      <c r="CX41" s="14">
        <f>CX21+CX39</f>
        <v>46387788.934081122</v>
      </c>
      <c r="CY41" s="8"/>
      <c r="CZ41" s="14">
        <f>CZ21+CZ39</f>
        <v>60071095.119487748</v>
      </c>
      <c r="DA41" s="6"/>
      <c r="DB41" s="14">
        <f>DB21+DB39</f>
        <v>48488280.79900258</v>
      </c>
      <c r="DC41" s="6"/>
    </row>
    <row r="42" spans="2:107">
      <c r="B42" s="16"/>
      <c r="CQ42" s="8"/>
      <c r="CW42" s="8"/>
      <c r="CY42" s="8"/>
    </row>
    <row r="43" spans="2:107">
      <c r="CQ43" s="8"/>
      <c r="CW43" s="8"/>
      <c r="CY43" s="8"/>
    </row>
    <row r="44" spans="2:107">
      <c r="B44" s="6" t="s">
        <v>29</v>
      </c>
      <c r="C44" s="6"/>
      <c r="D44" s="7"/>
      <c r="E44" s="6"/>
      <c r="F44" s="7"/>
      <c r="G44" s="6"/>
      <c r="H44" s="7"/>
      <c r="I44" s="6"/>
      <c r="J44" s="7"/>
      <c r="K44" s="6"/>
      <c r="L44" s="7"/>
      <c r="M44" s="6"/>
      <c r="N44" s="7"/>
      <c r="O44" s="6"/>
      <c r="P44" s="7"/>
      <c r="Q44" s="6"/>
      <c r="R44" s="7"/>
      <c r="S44" s="6"/>
      <c r="T44" s="7"/>
      <c r="U44" s="6"/>
      <c r="V44" s="7"/>
      <c r="W44" s="6"/>
      <c r="X44" s="7"/>
      <c r="Y44" s="6"/>
      <c r="Z44" s="7"/>
      <c r="AA44" s="6"/>
      <c r="AB44" s="7"/>
      <c r="AC44" s="6"/>
      <c r="AD44" s="7"/>
      <c r="AE44" s="6"/>
      <c r="AF44" s="7"/>
      <c r="AG44" s="6"/>
      <c r="AH44" s="7"/>
      <c r="AI44" s="6"/>
      <c r="AJ44" s="7"/>
      <c r="AK44" s="6"/>
      <c r="AL44" s="7"/>
      <c r="AM44" s="6"/>
      <c r="AN44" s="7"/>
      <c r="AO44" s="6"/>
      <c r="AP44" s="7"/>
      <c r="AQ44" s="7"/>
      <c r="AR44" s="7"/>
      <c r="AS44" s="6"/>
      <c r="AT44" s="7"/>
      <c r="AU44" s="6"/>
      <c r="AV44" s="7"/>
      <c r="AW44" s="6"/>
      <c r="AX44" s="7"/>
      <c r="AY44" s="6"/>
      <c r="AZ44" s="7"/>
      <c r="BA44" s="6"/>
      <c r="BB44" s="7"/>
      <c r="BC44" s="6"/>
      <c r="BD44" s="7"/>
      <c r="BE44" s="6"/>
      <c r="BF44" s="7"/>
      <c r="BG44" s="6"/>
      <c r="BH44" s="7"/>
      <c r="BI44" s="6"/>
      <c r="BJ44" s="7"/>
      <c r="BK44" s="6"/>
      <c r="BL44" s="7"/>
      <c r="BM44" s="6"/>
      <c r="BN44" s="7"/>
      <c r="BO44" s="6"/>
      <c r="BP44" s="7"/>
      <c r="BQ44" s="6"/>
      <c r="BR44" s="7"/>
      <c r="BS44" s="6"/>
      <c r="BT44" s="7"/>
      <c r="BU44" s="6"/>
      <c r="BV44" s="7"/>
      <c r="BW44" s="6"/>
      <c r="BX44" s="7"/>
      <c r="BY44" s="6"/>
      <c r="BZ44" s="7"/>
      <c r="CA44" s="6"/>
      <c r="CB44" s="7"/>
      <c r="CC44" s="6"/>
      <c r="CD44" s="7"/>
      <c r="CE44" s="6"/>
      <c r="CF44" s="7"/>
      <c r="CG44" s="6"/>
      <c r="CH44" s="7"/>
      <c r="CI44" s="6"/>
      <c r="CJ44" s="7"/>
      <c r="CK44" s="6"/>
      <c r="CL44" s="7"/>
      <c r="CM44" s="6"/>
      <c r="CN44" s="7"/>
      <c r="CO44" s="6"/>
      <c r="CP44" s="7"/>
      <c r="CQ44" s="9"/>
      <c r="CR44" s="15"/>
      <c r="CS44" s="6"/>
      <c r="CT44" s="7"/>
      <c r="CU44" s="6"/>
      <c r="CV44" s="7"/>
      <c r="CW44" s="9"/>
      <c r="CX44" s="15"/>
      <c r="CY44" s="9"/>
      <c r="CZ44" s="7"/>
      <c r="DA44" s="6"/>
      <c r="DB44" s="7"/>
      <c r="DC44" s="6"/>
    </row>
    <row r="45" spans="2:107">
      <c r="B45" s="16" t="s">
        <v>30</v>
      </c>
      <c r="C45" s="16"/>
      <c r="D45" s="7"/>
      <c r="E45" s="16"/>
      <c r="F45" s="7"/>
      <c r="G45" s="16"/>
      <c r="H45" s="7"/>
      <c r="I45" s="16"/>
      <c r="J45" s="7">
        <v>4264564.5</v>
      </c>
      <c r="K45" s="16"/>
      <c r="L45" s="7">
        <v>4264564.5</v>
      </c>
      <c r="M45" s="16"/>
      <c r="N45" s="7">
        <v>4264564.5</v>
      </c>
      <c r="O45" s="16"/>
      <c r="P45" s="7">
        <v>4264564.5</v>
      </c>
      <c r="Q45" s="16"/>
      <c r="R45" s="7">
        <v>4264564.5</v>
      </c>
      <c r="S45" s="16"/>
      <c r="T45" s="7">
        <v>4264564.5</v>
      </c>
      <c r="U45" s="16"/>
      <c r="V45" s="7">
        <v>4264564.5</v>
      </c>
      <c r="W45" s="16"/>
      <c r="X45" s="7">
        <v>4264564.5</v>
      </c>
      <c r="Y45" s="16"/>
      <c r="Z45" s="7">
        <v>4264564.5</v>
      </c>
      <c r="AA45" s="16"/>
      <c r="AB45" s="7">
        <v>4264564.5</v>
      </c>
      <c r="AC45" s="16"/>
      <c r="AD45" s="7">
        <v>4264564.5</v>
      </c>
      <c r="AE45" s="16"/>
      <c r="AF45" s="7">
        <v>4264564.5</v>
      </c>
      <c r="AG45" s="16"/>
      <c r="AH45" s="7">
        <v>4264564.5</v>
      </c>
      <c r="AI45" s="16"/>
      <c r="AJ45" s="7">
        <v>4264564.5</v>
      </c>
      <c r="AK45" s="16"/>
      <c r="AL45" s="7">
        <v>4264564.5</v>
      </c>
      <c r="AM45" s="16"/>
      <c r="AN45" s="7">
        <v>4264564.5</v>
      </c>
      <c r="AO45" s="16"/>
      <c r="AP45" s="7">
        <v>4264564.5</v>
      </c>
      <c r="AQ45" s="7"/>
      <c r="AR45" s="7">
        <v>4264564.5</v>
      </c>
      <c r="AS45" s="16"/>
      <c r="AT45" s="7">
        <v>4264564.5</v>
      </c>
      <c r="AU45" s="16"/>
      <c r="AV45" s="7">
        <v>4264564.5</v>
      </c>
      <c r="AW45" s="16"/>
      <c r="AX45" s="7">
        <v>4264564.5</v>
      </c>
      <c r="AY45" s="16"/>
      <c r="AZ45" s="7">
        <v>4264564.5</v>
      </c>
      <c r="BA45" s="16"/>
      <c r="BB45" s="7">
        <v>4264564.5</v>
      </c>
      <c r="BC45" s="16"/>
      <c r="BD45" s="7">
        <v>4264564.5</v>
      </c>
      <c r="BE45" s="16"/>
      <c r="BF45" s="7">
        <v>4264564.5</v>
      </c>
      <c r="BG45" s="16"/>
      <c r="BH45" s="7">
        <v>4264564.5</v>
      </c>
      <c r="BI45" s="16"/>
      <c r="BJ45" s="7">
        <v>4264564.5</v>
      </c>
      <c r="BK45" s="16"/>
      <c r="BL45" s="7">
        <v>4264564.5</v>
      </c>
      <c r="BM45" s="16"/>
      <c r="BN45" s="7">
        <v>4264564.5</v>
      </c>
      <c r="BO45" s="16"/>
      <c r="BP45" s="7">
        <v>4264564.5</v>
      </c>
      <c r="BQ45" s="16"/>
      <c r="BR45" s="7">
        <v>4264564.5</v>
      </c>
      <c r="BS45" s="16"/>
      <c r="BT45" s="7">
        <v>4264564.5</v>
      </c>
      <c r="BU45" s="16"/>
      <c r="BV45" s="7">
        <v>4264564.5</v>
      </c>
      <c r="BW45" s="16"/>
      <c r="BX45" s="7">
        <v>4264564.5</v>
      </c>
      <c r="BY45" s="16"/>
      <c r="BZ45" s="7">
        <v>4264564.5</v>
      </c>
      <c r="CA45" s="16"/>
      <c r="CB45" s="7">
        <v>4264564.5</v>
      </c>
      <c r="CC45" s="16"/>
      <c r="CD45" s="7">
        <v>4264564.5</v>
      </c>
      <c r="CE45" s="16"/>
      <c r="CF45" s="7">
        <v>4264564.5</v>
      </c>
      <c r="CG45" s="16"/>
      <c r="CH45" s="7">
        <v>4264564.5</v>
      </c>
      <c r="CI45" s="16"/>
      <c r="CJ45" s="7">
        <v>4264564.5</v>
      </c>
      <c r="CK45" s="16"/>
      <c r="CL45" s="7">
        <v>4264564.5</v>
      </c>
      <c r="CM45" s="16"/>
      <c r="CN45" s="7">
        <v>4264564.5</v>
      </c>
      <c r="CO45" s="16"/>
      <c r="CP45" s="7">
        <v>4264564.5</v>
      </c>
      <c r="CQ45" s="9"/>
      <c r="CR45" s="7">
        <v>4264564.5</v>
      </c>
      <c r="CS45" s="16"/>
      <c r="CT45" s="7">
        <v>3359564.5</v>
      </c>
      <c r="CU45" s="16"/>
      <c r="CV45" s="7">
        <v>3359564.5</v>
      </c>
      <c r="CW45" s="9"/>
      <c r="CX45" s="7">
        <v>3341000</v>
      </c>
      <c r="CY45" s="9"/>
      <c r="CZ45" s="7">
        <v>3341000</v>
      </c>
      <c r="DA45" s="16"/>
      <c r="DB45" s="7">
        <v>3341000</v>
      </c>
      <c r="DC45" s="16"/>
    </row>
    <row r="46" spans="2:107">
      <c r="B46" s="16" t="s">
        <v>31</v>
      </c>
      <c r="C46" s="16"/>
      <c r="D46" s="7"/>
      <c r="E46" s="16"/>
      <c r="F46" s="7"/>
      <c r="G46" s="16"/>
      <c r="H46" s="7"/>
      <c r="I46" s="16"/>
      <c r="J46" s="7">
        <v>61080809.170000002</v>
      </c>
      <c r="K46" s="16"/>
      <c r="L46" s="7">
        <v>61080809.170000002</v>
      </c>
      <c r="M46" s="16"/>
      <c r="N46" s="7">
        <v>61080809.170000002</v>
      </c>
      <c r="O46" s="16"/>
      <c r="P46" s="7">
        <v>61080809.170000002</v>
      </c>
      <c r="Q46" s="16"/>
      <c r="R46" s="7">
        <v>60997653.939999998</v>
      </c>
      <c r="S46" s="16"/>
      <c r="T46" s="7">
        <v>60997653.939999998</v>
      </c>
      <c r="U46" s="16"/>
      <c r="V46" s="7">
        <v>60997653.939999998</v>
      </c>
      <c r="W46" s="16"/>
      <c r="X46" s="7">
        <v>60997653.939999998</v>
      </c>
      <c r="Y46" s="16"/>
      <c r="Z46" s="7">
        <v>64663407.879999995</v>
      </c>
      <c r="AA46" s="16"/>
      <c r="AB46" s="7">
        <v>64663407.879999995</v>
      </c>
      <c r="AC46" s="16"/>
      <c r="AD46" s="7">
        <v>64663407.879999995</v>
      </c>
      <c r="AE46" s="16"/>
      <c r="AF46" s="7">
        <v>64663407.879999995</v>
      </c>
      <c r="AG46" s="16"/>
      <c r="AH46" s="7">
        <v>64663407.879999995</v>
      </c>
      <c r="AI46" s="16"/>
      <c r="AJ46" s="7">
        <v>64663407.879999995</v>
      </c>
      <c r="AK46" s="16"/>
      <c r="AL46" s="7">
        <v>64663407.879999995</v>
      </c>
      <c r="AM46" s="16"/>
      <c r="AN46" s="7">
        <v>64663407.879999995</v>
      </c>
      <c r="AO46" s="16"/>
      <c r="AP46" s="7">
        <v>63101170.169999987</v>
      </c>
      <c r="AQ46" s="7"/>
      <c r="AR46" s="7">
        <v>63101170.169999987</v>
      </c>
      <c r="AS46" s="16"/>
      <c r="AT46" s="7">
        <v>63101170.169999987</v>
      </c>
      <c r="AU46" s="16"/>
      <c r="AV46" s="7">
        <v>63101170.169999987</v>
      </c>
      <c r="AW46" s="16"/>
      <c r="AX46" s="7">
        <v>58384835.209999993</v>
      </c>
      <c r="AY46" s="16"/>
      <c r="AZ46" s="7">
        <v>58384835.209999993</v>
      </c>
      <c r="BA46" s="16"/>
      <c r="BB46" s="7">
        <v>58384835.209999993</v>
      </c>
      <c r="BC46" s="16"/>
      <c r="BD46" s="7">
        <v>58384835.209999993</v>
      </c>
      <c r="BE46" s="16"/>
      <c r="BF46" s="7">
        <v>57931247.82</v>
      </c>
      <c r="BG46" s="16"/>
      <c r="BH46" s="7">
        <v>57467755.740000002</v>
      </c>
      <c r="BI46" s="16"/>
      <c r="BJ46" s="7">
        <v>57467755.739999987</v>
      </c>
      <c r="BK46" s="16"/>
      <c r="BL46" s="7">
        <v>57467755.739999987</v>
      </c>
      <c r="BM46" s="16"/>
      <c r="BN46" s="7">
        <v>57467755.739999995</v>
      </c>
      <c r="BO46" s="16"/>
      <c r="BP46" s="7">
        <v>57467755.739999995</v>
      </c>
      <c r="BQ46" s="16"/>
      <c r="BR46" s="7">
        <v>57467755.739999995</v>
      </c>
      <c r="BS46" s="16"/>
      <c r="BT46" s="7">
        <v>54537779.239999995</v>
      </c>
      <c r="BU46" s="16"/>
      <c r="BV46" s="7">
        <v>54537779.239999995</v>
      </c>
      <c r="BW46" s="16"/>
      <c r="BX46" s="7">
        <v>54537779.239999995</v>
      </c>
      <c r="BY46" s="16"/>
      <c r="BZ46" s="7">
        <v>54537779.239999995</v>
      </c>
      <c r="CA46" s="16"/>
      <c r="CB46" s="7">
        <v>55303778.349999994</v>
      </c>
      <c r="CC46" s="16"/>
      <c r="CD46" s="7">
        <v>55303778.349999994</v>
      </c>
      <c r="CE46" s="16"/>
      <c r="CF46" s="7">
        <v>55303778.349999994</v>
      </c>
      <c r="CG46" s="16"/>
      <c r="CH46" s="7">
        <v>55303778.349999994</v>
      </c>
      <c r="CI46" s="16"/>
      <c r="CJ46" s="7">
        <v>51647100.399999999</v>
      </c>
      <c r="CK46" s="16"/>
      <c r="CL46" s="7">
        <v>51647100.399999999</v>
      </c>
      <c r="CM46" s="16"/>
      <c r="CN46" s="7">
        <v>51653475.399999999</v>
      </c>
      <c r="CO46" s="16"/>
      <c r="CP46" s="7">
        <v>51653529.399999999</v>
      </c>
      <c r="CQ46" s="9"/>
      <c r="CR46" s="7">
        <v>47391868.490000002</v>
      </c>
      <c r="CS46" s="16"/>
      <c r="CT46" s="7">
        <v>18424294.399999999</v>
      </c>
      <c r="CU46" s="16"/>
      <c r="CV46" s="7">
        <v>18430794.399999999</v>
      </c>
      <c r="CW46" s="9"/>
      <c r="CX46" s="7">
        <v>18326320.300000001</v>
      </c>
      <c r="CY46" s="9"/>
      <c r="CZ46" s="7">
        <v>17122128.079999998</v>
      </c>
      <c r="DA46" s="16"/>
      <c r="DB46" s="7">
        <v>16681340</v>
      </c>
      <c r="DC46" s="16"/>
    </row>
    <row r="47" spans="2:107">
      <c r="B47" s="16" t="s">
        <v>32</v>
      </c>
      <c r="C47" s="16"/>
      <c r="D47" s="7"/>
      <c r="E47" s="16"/>
      <c r="F47" s="7"/>
      <c r="G47" s="16"/>
      <c r="H47" s="7"/>
      <c r="I47" s="16"/>
      <c r="J47" s="7">
        <v>4507.22</v>
      </c>
      <c r="K47" s="16"/>
      <c r="L47" s="7">
        <v>4507.22</v>
      </c>
      <c r="M47" s="16"/>
      <c r="N47" s="7">
        <v>36446.019999999997</v>
      </c>
      <c r="O47" s="16"/>
      <c r="P47" s="7">
        <v>36446.019999999997</v>
      </c>
      <c r="Q47" s="16"/>
      <c r="R47" s="7">
        <v>36446.019999999997</v>
      </c>
      <c r="S47" s="16"/>
      <c r="T47" s="7">
        <v>36446.019999999997</v>
      </c>
      <c r="U47" s="16"/>
      <c r="V47" s="7">
        <v>56007.16</v>
      </c>
      <c r="W47" s="16"/>
      <c r="X47" s="7">
        <v>56007.16</v>
      </c>
      <c r="Y47" s="16"/>
      <c r="Z47" s="7">
        <v>56007.16</v>
      </c>
      <c r="AA47" s="16"/>
      <c r="AB47" s="7">
        <v>56007.16</v>
      </c>
      <c r="AC47" s="16"/>
      <c r="AD47" s="7">
        <v>22064.94</v>
      </c>
      <c r="AE47" s="16"/>
      <c r="AF47" s="7">
        <v>22064.94</v>
      </c>
      <c r="AG47" s="16"/>
      <c r="AH47" s="7">
        <v>22064.94</v>
      </c>
      <c r="AI47" s="16"/>
      <c r="AJ47" s="7">
        <v>22064.94</v>
      </c>
      <c r="AK47" s="16"/>
      <c r="AL47" s="7">
        <v>4388.6499999999996</v>
      </c>
      <c r="AM47" s="16"/>
      <c r="AN47" s="7">
        <v>4388.6499999999996</v>
      </c>
      <c r="AO47" s="16"/>
      <c r="AP47" s="7">
        <v>4388.6499999999996</v>
      </c>
      <c r="AQ47" s="7"/>
      <c r="AR47" s="7">
        <v>4388.6499999999996</v>
      </c>
      <c r="AS47" s="16"/>
      <c r="AT47" s="7">
        <v>1059.1300000000001</v>
      </c>
      <c r="AU47" s="16"/>
      <c r="AV47" s="7">
        <v>1059.1300000000001</v>
      </c>
      <c r="AW47" s="16"/>
      <c r="AX47" s="7">
        <v>1059.1300000000001</v>
      </c>
      <c r="AY47" s="16"/>
      <c r="AZ47" s="7">
        <v>1059.1300000000001</v>
      </c>
      <c r="BA47" s="16"/>
      <c r="BB47" s="7">
        <v>-6453.9</v>
      </c>
      <c r="BC47" s="16"/>
      <c r="BD47" s="7">
        <v>-6453.9</v>
      </c>
      <c r="BE47" s="16"/>
      <c r="BF47" s="7">
        <v>-6453.9</v>
      </c>
      <c r="BG47" s="16"/>
      <c r="BH47" s="7">
        <v>-6453.9</v>
      </c>
      <c r="BI47" s="16"/>
      <c r="BJ47" s="7">
        <v>5942.38</v>
      </c>
      <c r="BK47" s="16"/>
      <c r="BL47" s="7">
        <v>5942.38</v>
      </c>
      <c r="BM47" s="16"/>
      <c r="BN47" s="7">
        <v>5942.38</v>
      </c>
      <c r="BO47" s="16"/>
      <c r="BP47" s="7">
        <v>5942.38</v>
      </c>
      <c r="BQ47" s="16"/>
      <c r="BR47" s="7">
        <v>5942.38</v>
      </c>
      <c r="BS47" s="16"/>
      <c r="BT47" s="7">
        <v>5942.38</v>
      </c>
      <c r="BU47" s="16"/>
      <c r="BV47" s="7">
        <v>5942.38</v>
      </c>
      <c r="BW47" s="16"/>
      <c r="BX47" s="7">
        <v>228.59</v>
      </c>
      <c r="BY47" s="16"/>
      <c r="BZ47" s="7">
        <v>228.59</v>
      </c>
      <c r="CA47" s="16"/>
      <c r="CB47" s="7">
        <v>228.59</v>
      </c>
      <c r="CC47" s="16"/>
      <c r="CD47" s="7">
        <v>228.59</v>
      </c>
      <c r="CE47" s="16"/>
      <c r="CF47" s="7">
        <v>-4095.91</v>
      </c>
      <c r="CG47" s="16"/>
      <c r="CH47" s="7">
        <v>-4095.91</v>
      </c>
      <c r="CI47" s="16"/>
      <c r="CJ47" s="7">
        <v>-4095.91</v>
      </c>
      <c r="CK47" s="16"/>
      <c r="CL47" s="7">
        <v>-4095.91</v>
      </c>
      <c r="CM47" s="16"/>
      <c r="CN47" s="7">
        <v>4876.9776000000011</v>
      </c>
      <c r="CO47" s="16"/>
      <c r="CP47" s="7">
        <v>4876.9776000000011</v>
      </c>
      <c r="CQ47" s="8"/>
      <c r="CR47" s="7">
        <v>4876.9776000000011</v>
      </c>
      <c r="CS47" s="16"/>
      <c r="CT47" s="7">
        <v>29902451.067600001</v>
      </c>
      <c r="CU47" s="16"/>
      <c r="CV47" s="7">
        <v>415714.86081653455</v>
      </c>
      <c r="CW47" s="8"/>
      <c r="CX47" s="7">
        <v>405173.65699559776</v>
      </c>
      <c r="CY47" s="8"/>
      <c r="CZ47" s="7">
        <v>384091.25350248301</v>
      </c>
      <c r="DA47" s="16"/>
      <c r="DB47" s="7">
        <v>130392.94</v>
      </c>
      <c r="DC47" s="16"/>
    </row>
    <row r="48" spans="2:107">
      <c r="B48" s="16" t="s">
        <v>33</v>
      </c>
      <c r="C48" s="16"/>
      <c r="D48" s="7"/>
      <c r="E48" s="16"/>
      <c r="F48" s="7"/>
      <c r="G48" s="16"/>
      <c r="H48" s="7"/>
      <c r="I48" s="16"/>
      <c r="J48" s="7">
        <v>125711714.38268292</v>
      </c>
      <c r="K48" s="16"/>
      <c r="L48" s="7">
        <v>43145800.843791611</v>
      </c>
      <c r="M48" s="16"/>
      <c r="N48" s="7">
        <v>43145800.843791597</v>
      </c>
      <c r="O48" s="16"/>
      <c r="P48" s="7">
        <v>43145800.835465267</v>
      </c>
      <c r="Q48" s="16"/>
      <c r="R48" s="7">
        <v>69072216.943791613</v>
      </c>
      <c r="S48" s="16"/>
      <c r="T48" s="7">
        <v>16620026.255533624</v>
      </c>
      <c r="U48" s="16"/>
      <c r="V48" s="7">
        <v>16620026.255533636</v>
      </c>
      <c r="W48" s="16"/>
      <c r="X48" s="7">
        <v>16620026.255533626</v>
      </c>
      <c r="Y48" s="16"/>
      <c r="Z48" s="7">
        <v>18071749.715533629</v>
      </c>
      <c r="AA48" s="16"/>
      <c r="AB48" s="7">
        <v>7770543.3461752348</v>
      </c>
      <c r="AC48" s="16"/>
      <c r="AD48" s="7">
        <v>7770543.3461752348</v>
      </c>
      <c r="AE48" s="16"/>
      <c r="AF48" s="7">
        <v>7770543.3361752369</v>
      </c>
      <c r="AG48" s="16"/>
      <c r="AH48" s="7">
        <v>11608651.396175247</v>
      </c>
      <c r="AI48" s="16"/>
      <c r="AJ48" s="7">
        <v>3224840.5156248324</v>
      </c>
      <c r="AK48" s="16"/>
      <c r="AL48" s="7">
        <v>3224840.5132928081</v>
      </c>
      <c r="AM48" s="16"/>
      <c r="AN48" s="7">
        <v>3224840.5132928081</v>
      </c>
      <c r="AO48" s="16"/>
      <c r="AP48" s="7">
        <v>8625186.2732928097</v>
      </c>
      <c r="AQ48" s="7"/>
      <c r="AR48" s="7">
        <v>-184947.82650015876</v>
      </c>
      <c r="AS48" s="16"/>
      <c r="AT48" s="7">
        <v>-184947.82650015876</v>
      </c>
      <c r="AU48" s="16"/>
      <c r="AV48" s="7">
        <v>-184947.82650015876</v>
      </c>
      <c r="AW48" s="16"/>
      <c r="AX48" s="7">
        <v>7601873.5734998286</v>
      </c>
      <c r="AY48" s="16"/>
      <c r="AZ48" s="7">
        <v>-1534421.4549251609</v>
      </c>
      <c r="BA48" s="16"/>
      <c r="BB48" s="7">
        <v>-1534421.4549251609</v>
      </c>
      <c r="BC48" s="16"/>
      <c r="BD48" s="7">
        <v>-1534421.4549251609</v>
      </c>
      <c r="BE48" s="16"/>
      <c r="BF48" s="7">
        <v>-1417210.1754250065</v>
      </c>
      <c r="BG48" s="16"/>
      <c r="BH48" s="7">
        <v>-10033451.421400005</v>
      </c>
      <c r="BI48" s="16"/>
      <c r="BJ48" s="7">
        <v>-4103543.9308000058</v>
      </c>
      <c r="BK48" s="16"/>
      <c r="BL48" s="7">
        <v>-4103543.9308000058</v>
      </c>
      <c r="BM48" s="16"/>
      <c r="BN48" s="7">
        <v>-4103543.9308000002</v>
      </c>
      <c r="BO48" s="16"/>
      <c r="BP48" s="7">
        <v>-4103543.9308000002</v>
      </c>
      <c r="BQ48" s="16"/>
      <c r="BR48" s="7">
        <v>-4103543.9307999993</v>
      </c>
      <c r="BS48" s="16"/>
      <c r="BT48" s="7">
        <v>-1867542.94</v>
      </c>
      <c r="BU48" s="16"/>
      <c r="BV48" s="7">
        <v>-2255634.8000000003</v>
      </c>
      <c r="BW48" s="16"/>
      <c r="BX48" s="7">
        <v>-2255634.8000000003</v>
      </c>
      <c r="BY48" s="16"/>
      <c r="BZ48" s="7">
        <v>-2255634.8000000003</v>
      </c>
      <c r="CA48" s="16"/>
      <c r="CB48" s="7">
        <v>-3021633.9099999997</v>
      </c>
      <c r="CC48" s="16"/>
      <c r="CD48" s="7">
        <v>-1756447.4450000003</v>
      </c>
      <c r="CE48" s="16"/>
      <c r="CF48" s="7">
        <v>-1235331.5200000003</v>
      </c>
      <c r="CG48" s="16"/>
      <c r="CH48" s="7">
        <v>-1235331.5200000003</v>
      </c>
      <c r="CI48" s="16"/>
      <c r="CJ48" s="7">
        <v>2421346.4300000002</v>
      </c>
      <c r="CK48" s="16"/>
      <c r="CL48" s="7">
        <v>-1183458.7714</v>
      </c>
      <c r="CM48" s="16"/>
      <c r="CN48" s="7">
        <v>-1047892.8559909645</v>
      </c>
      <c r="CO48" s="16"/>
      <c r="CP48" s="7">
        <v>-1047892.8559909645</v>
      </c>
      <c r="CQ48" s="17"/>
      <c r="CR48" s="7">
        <v>3236706.311718211</v>
      </c>
      <c r="CS48" s="16"/>
      <c r="CT48" s="7">
        <v>-4456968.8597516213</v>
      </c>
      <c r="CU48" s="16"/>
      <c r="CV48" s="7">
        <v>-4558565.2875537248</v>
      </c>
      <c r="CW48" s="17"/>
      <c r="CX48" s="7">
        <v>-4558565.2875537248</v>
      </c>
      <c r="CY48" s="17"/>
      <c r="CZ48" s="7">
        <v>-2345433.8947422956</v>
      </c>
      <c r="DA48" s="16"/>
      <c r="DB48" s="7">
        <v>-532824.23</v>
      </c>
      <c r="DC48" s="16"/>
    </row>
    <row r="49" spans="2:107">
      <c r="B49" s="17" t="s">
        <v>34</v>
      </c>
      <c r="C49" s="16"/>
      <c r="D49" s="7"/>
      <c r="E49" s="16"/>
      <c r="F49" s="7"/>
      <c r="G49" s="16"/>
      <c r="H49" s="7"/>
      <c r="I49" s="16"/>
      <c r="J49" s="7">
        <v>33128644.661438927</v>
      </c>
      <c r="K49" s="16"/>
      <c r="L49" s="7">
        <v>82565913.538891405</v>
      </c>
      <c r="M49" s="16"/>
      <c r="N49" s="7">
        <v>63648250.285388544</v>
      </c>
      <c r="O49" s="16"/>
      <c r="P49" s="7">
        <v>46903424.099113919</v>
      </c>
      <c r="Q49" s="16"/>
      <c r="R49" s="7">
        <v>34668952.073284842</v>
      </c>
      <c r="S49" s="16"/>
      <c r="T49" s="7">
        <v>52452190.688257977</v>
      </c>
      <c r="U49" s="16"/>
      <c r="V49" s="7">
        <v>36628233.758489147</v>
      </c>
      <c r="W49" s="16"/>
      <c r="X49" s="7">
        <v>23112980.901688799</v>
      </c>
      <c r="Y49" s="16"/>
      <c r="Z49" s="7">
        <v>19084171.855803166</v>
      </c>
      <c r="AA49" s="16"/>
      <c r="AB49" s="7">
        <v>10301206.369358394</v>
      </c>
      <c r="AC49" s="16"/>
      <c r="AD49" s="7">
        <f>'Rachunek Skonsol'!AD38</f>
        <v>8048691.7190114781</v>
      </c>
      <c r="AE49" s="16"/>
      <c r="AF49" s="7">
        <f>'Rachunek Skonsol'!AF38</f>
        <v>7701434.8995795436</v>
      </c>
      <c r="AG49" s="16"/>
      <c r="AH49" s="7">
        <v>1779503.7167624568</v>
      </c>
      <c r="AI49" s="16"/>
      <c r="AJ49" s="7">
        <v>8383810.8793084994</v>
      </c>
      <c r="AK49" s="16"/>
      <c r="AL49" s="7">
        <v>5213721.6387859425</v>
      </c>
      <c r="AM49" s="16"/>
      <c r="AN49" s="7">
        <v>5578537.7188451942</v>
      </c>
      <c r="AO49" s="16"/>
      <c r="AP49" s="7">
        <v>3586190.5115086464</v>
      </c>
      <c r="AQ49" s="7"/>
      <c r="AR49" s="7">
        <v>8810134.0960014798</v>
      </c>
      <c r="AS49" s="16"/>
      <c r="AT49" s="7">
        <v>5954772.65289714</v>
      </c>
      <c r="AU49" s="16"/>
      <c r="AV49" s="7">
        <v>4794654.4306888524</v>
      </c>
      <c r="AW49" s="16"/>
      <c r="AX49" s="7">
        <v>2464786.1656587487</v>
      </c>
      <c r="AY49" s="16"/>
      <c r="AZ49" s="7">
        <v>9136295.0251800064</v>
      </c>
      <c r="BA49" s="16"/>
      <c r="BB49" s="7">
        <v>9149331.9042585026</v>
      </c>
      <c r="BC49" s="16"/>
      <c r="BD49" s="7">
        <v>9063929.0360267498</v>
      </c>
      <c r="BE49" s="16"/>
      <c r="BF49" s="7">
        <v>8130412.9565266063</v>
      </c>
      <c r="BG49" s="16"/>
      <c r="BH49" s="7">
        <v>10293436.725174975</v>
      </c>
      <c r="BI49" s="16"/>
      <c r="BJ49" s="7">
        <v>13118604.878813744</v>
      </c>
      <c r="BK49" s="16"/>
      <c r="BL49" s="7">
        <v>11499388.168924987</v>
      </c>
      <c r="BM49" s="16"/>
      <c r="BN49" s="7">
        <v>4085133.8591687442</v>
      </c>
      <c r="BO49" s="16"/>
      <c r="BP49" s="7">
        <v>971657.96142749779</v>
      </c>
      <c r="BQ49" s="16"/>
      <c r="BR49" s="7">
        <v>485514.17029999918</v>
      </c>
      <c r="BS49" s="16"/>
      <c r="BT49" s="7">
        <v>256207.90999999939</v>
      </c>
      <c r="BU49" s="16"/>
      <c r="BV49" s="7">
        <v>1082067.3650000049</v>
      </c>
      <c r="BW49" s="16"/>
      <c r="BX49" s="7">
        <v>-175994.87000000186</v>
      </c>
      <c r="BY49" s="16"/>
      <c r="BZ49" s="7">
        <v>-570915.79000000167</v>
      </c>
      <c r="CA49" s="16"/>
      <c r="CB49" s="7">
        <v>-270101.16000000061</v>
      </c>
      <c r="CC49" s="16"/>
      <c r="CD49" s="7">
        <v>-1265186.4699999951</v>
      </c>
      <c r="CE49" s="16"/>
      <c r="CF49" s="7">
        <v>-1469911.4000000018</v>
      </c>
      <c r="CG49" s="16"/>
      <c r="CH49" s="7">
        <v>-3921620.2899999996</v>
      </c>
      <c r="CI49" s="16"/>
      <c r="CJ49" s="7">
        <v>-1024136.3400000001</v>
      </c>
      <c r="CK49" s="16"/>
      <c r="CL49" s="7">
        <v>3084630.9000000027</v>
      </c>
      <c r="CM49" s="16"/>
      <c r="CN49" s="7">
        <v>1973248.1783523841</v>
      </c>
      <c r="CO49" s="16"/>
      <c r="CP49" s="7">
        <v>1126058.2930284061</v>
      </c>
      <c r="CQ49" s="6"/>
      <c r="CR49" s="7">
        <v>77232.492956409638</v>
      </c>
      <c r="CS49" s="16"/>
      <c r="CT49" s="7">
        <v>7693675.1700698286</v>
      </c>
      <c r="CU49" s="16"/>
      <c r="CV49" s="7">
        <v>3697195.398929161</v>
      </c>
      <c r="CW49" s="6"/>
      <c r="CX49" s="7">
        <v>838314.36118960893</v>
      </c>
      <c r="CY49" s="6"/>
      <c r="CZ49" s="7">
        <v>-973346.29492695886</v>
      </c>
      <c r="DA49" s="16"/>
      <c r="DB49" s="7">
        <v>-1366321.5885708446</v>
      </c>
      <c r="DC49" s="16"/>
    </row>
    <row r="50" spans="2:107">
      <c r="B50" s="16" t="s">
        <v>301</v>
      </c>
      <c r="C50" s="16"/>
      <c r="D50" s="7"/>
      <c r="E50" s="16"/>
      <c r="F50" s="7"/>
      <c r="G50" s="16"/>
      <c r="H50" s="7"/>
      <c r="I50" s="16"/>
      <c r="J50" s="7">
        <v>-1065341.2200807366</v>
      </c>
      <c r="K50" s="16"/>
      <c r="L50" s="7">
        <v>-1037623.5224530436</v>
      </c>
      <c r="M50" s="16"/>
      <c r="N50" s="7">
        <v>-818834.59677208262</v>
      </c>
      <c r="O50" s="16"/>
      <c r="P50" s="7">
        <v>-1058143.7628420326</v>
      </c>
      <c r="Q50" s="16"/>
      <c r="R50" s="7">
        <v>-162844.2510210475</v>
      </c>
      <c r="S50" s="16"/>
      <c r="T50" s="7">
        <v>-169868.18401880353</v>
      </c>
      <c r="U50" s="16"/>
      <c r="V50" s="7">
        <v>-682687.37520948797</v>
      </c>
      <c r="W50" s="16"/>
      <c r="X50" s="7">
        <v>407990.38637339824</v>
      </c>
      <c r="Y50" s="16"/>
      <c r="Z50" s="7">
        <v>406044.12423265673</v>
      </c>
      <c r="AA50" s="16"/>
      <c r="AB50" s="7">
        <v>790360.33649550565</v>
      </c>
      <c r="AC50" s="16"/>
      <c r="AD50" s="7">
        <v>-10400.226912637765</v>
      </c>
      <c r="AE50" s="16"/>
      <c r="AF50" s="7">
        <v>8398.5995786229614</v>
      </c>
      <c r="AG50" s="16"/>
      <c r="AH50" s="7"/>
      <c r="AI50" s="16"/>
      <c r="AJ50" s="7"/>
      <c r="AK50" s="16"/>
      <c r="AL50" s="7"/>
      <c r="AM50" s="16"/>
      <c r="AN50" s="7"/>
      <c r="AO50" s="16"/>
      <c r="AP50" s="7"/>
      <c r="AQ50" s="7"/>
      <c r="AR50" s="7"/>
      <c r="AS50" s="16"/>
      <c r="AT50" s="7"/>
      <c r="AU50" s="16"/>
      <c r="AV50" s="7"/>
      <c r="AW50" s="16"/>
      <c r="AX50" s="7"/>
      <c r="AY50" s="16"/>
      <c r="AZ50" s="7"/>
      <c r="BA50" s="16"/>
      <c r="BB50" s="7"/>
      <c r="BC50" s="16"/>
      <c r="BD50" s="7"/>
      <c r="BE50" s="16"/>
      <c r="BF50" s="7"/>
      <c r="BG50" s="16"/>
      <c r="BH50" s="7"/>
      <c r="BI50" s="16"/>
      <c r="BJ50" s="7"/>
      <c r="BK50" s="16"/>
      <c r="BL50" s="7"/>
      <c r="BM50" s="16"/>
      <c r="BN50" s="7"/>
      <c r="BO50" s="16"/>
      <c r="BP50" s="7"/>
      <c r="BQ50" s="16"/>
      <c r="BR50" s="7"/>
      <c r="BS50" s="16"/>
      <c r="BT50" s="7"/>
      <c r="BU50" s="16"/>
      <c r="BV50" s="7"/>
      <c r="BW50" s="16"/>
      <c r="BX50" s="7"/>
      <c r="BY50" s="16"/>
      <c r="BZ50" s="7"/>
      <c r="CA50" s="16"/>
      <c r="CB50" s="7"/>
      <c r="CC50" s="16"/>
      <c r="CD50" s="7"/>
      <c r="CE50" s="16"/>
      <c r="CF50" s="7"/>
      <c r="CG50" s="16"/>
      <c r="CH50" s="7"/>
      <c r="CI50" s="16"/>
      <c r="CJ50" s="7"/>
      <c r="CK50" s="16"/>
      <c r="CL50" s="7"/>
      <c r="CM50" s="16"/>
      <c r="CN50" s="7"/>
      <c r="CO50" s="16"/>
      <c r="CP50" s="7"/>
      <c r="CQ50" s="6"/>
      <c r="CR50" s="7"/>
      <c r="CS50" s="16"/>
      <c r="CT50" s="7"/>
      <c r="CU50" s="16"/>
      <c r="CV50" s="7"/>
      <c r="CW50" s="6"/>
      <c r="CX50" s="7"/>
      <c r="CY50" s="6"/>
      <c r="CZ50" s="7"/>
      <c r="DA50" s="16"/>
      <c r="DB50" s="7"/>
      <c r="DC50" s="16"/>
    </row>
    <row r="51" spans="2:107">
      <c r="B51" s="9"/>
      <c r="C51" s="9"/>
      <c r="D51" s="18"/>
      <c r="E51" s="9"/>
      <c r="F51" s="18"/>
      <c r="G51" s="9"/>
      <c r="H51" s="18"/>
      <c r="I51" s="9"/>
      <c r="J51" s="18"/>
      <c r="K51" s="9"/>
      <c r="L51" s="18"/>
      <c r="M51" s="9"/>
      <c r="N51" s="18"/>
      <c r="O51" s="9"/>
      <c r="P51" s="18"/>
      <c r="Q51" s="9"/>
      <c r="R51" s="18"/>
      <c r="S51" s="9"/>
      <c r="T51" s="18"/>
      <c r="U51" s="9"/>
      <c r="V51" s="18"/>
      <c r="W51" s="9"/>
      <c r="X51" s="18"/>
      <c r="Y51" s="9"/>
      <c r="Z51" s="18"/>
      <c r="AA51" s="9"/>
      <c r="AB51" s="18"/>
      <c r="AC51" s="9"/>
      <c r="AD51" s="18"/>
      <c r="AE51" s="9"/>
      <c r="AF51" s="18"/>
      <c r="AG51" s="9"/>
      <c r="AH51" s="18"/>
      <c r="AI51" s="9"/>
      <c r="AJ51" s="18"/>
      <c r="AK51" s="9"/>
      <c r="AL51" s="18"/>
      <c r="AM51" s="9"/>
      <c r="AN51" s="18"/>
      <c r="AO51" s="9"/>
      <c r="AP51" s="18"/>
      <c r="AQ51" s="18"/>
      <c r="AR51" s="18"/>
      <c r="AS51" s="9"/>
      <c r="AT51" s="18"/>
      <c r="AU51" s="9"/>
      <c r="AV51" s="18"/>
      <c r="AW51" s="9"/>
      <c r="AX51" s="18"/>
      <c r="AY51" s="9"/>
      <c r="AZ51" s="18"/>
      <c r="BA51" s="9"/>
      <c r="BB51" s="18"/>
      <c r="BC51" s="9"/>
      <c r="BD51" s="18"/>
      <c r="BE51" s="9"/>
      <c r="BF51" s="18"/>
      <c r="BG51" s="9"/>
      <c r="BH51" s="18"/>
      <c r="BI51" s="9"/>
      <c r="BJ51" s="18"/>
      <c r="BK51" s="9"/>
      <c r="BL51" s="18"/>
      <c r="BM51" s="9"/>
      <c r="BN51" s="18"/>
      <c r="BO51" s="9"/>
      <c r="BP51" s="18"/>
      <c r="BQ51" s="9"/>
      <c r="BR51" s="18"/>
      <c r="BS51" s="9"/>
      <c r="BT51" s="18"/>
      <c r="BU51" s="9"/>
      <c r="BV51" s="18"/>
      <c r="BW51" s="9"/>
      <c r="BX51" s="18"/>
      <c r="BY51" s="9"/>
      <c r="BZ51" s="18"/>
      <c r="CA51" s="9"/>
      <c r="CB51" s="18"/>
      <c r="CC51" s="9"/>
      <c r="CD51" s="18"/>
      <c r="CE51" s="9"/>
      <c r="CF51" s="18"/>
      <c r="CG51" s="9"/>
      <c r="CH51" s="18"/>
      <c r="CI51" s="9"/>
      <c r="CJ51" s="18"/>
      <c r="CK51" s="9"/>
      <c r="CL51" s="18"/>
      <c r="CM51" s="9"/>
      <c r="CN51" s="18"/>
      <c r="CO51" s="9"/>
      <c r="CP51" s="18"/>
      <c r="CQ51" s="19"/>
      <c r="CR51" s="18"/>
      <c r="CS51" s="9"/>
      <c r="CT51" s="18"/>
      <c r="CU51" s="9"/>
      <c r="CV51" s="18"/>
      <c r="CW51" s="19"/>
      <c r="CX51" s="18"/>
      <c r="CY51" s="19"/>
      <c r="CZ51" s="18"/>
      <c r="DA51" s="9"/>
      <c r="DB51" s="18"/>
      <c r="DC51" s="9"/>
    </row>
    <row r="52" spans="2:107">
      <c r="B52" s="9" t="s">
        <v>35</v>
      </c>
      <c r="C52" s="9"/>
      <c r="D52" s="20"/>
      <c r="E52" s="9"/>
      <c r="F52" s="20"/>
      <c r="G52" s="9"/>
      <c r="H52" s="20"/>
      <c r="I52" s="9"/>
      <c r="J52" s="20">
        <f>SUM(J44:J51)</f>
        <v>223124898.71404111</v>
      </c>
      <c r="K52" s="9"/>
      <c r="L52" s="20">
        <f>SUM(L44:L51)</f>
        <v>190023971.75022998</v>
      </c>
      <c r="M52" s="9"/>
      <c r="N52" s="20">
        <f>SUM(N44:N51)</f>
        <v>171357036.22240806</v>
      </c>
      <c r="O52" s="9"/>
      <c r="P52" s="20">
        <f>SUM(P44:P51)</f>
        <v>154372900.86173716</v>
      </c>
      <c r="Q52" s="9"/>
      <c r="R52" s="20">
        <f>SUM(R44:R51)</f>
        <v>168876989.22605538</v>
      </c>
      <c r="S52" s="9"/>
      <c r="T52" s="20">
        <f>SUM(T44:T51)</f>
        <v>134201013.2197728</v>
      </c>
      <c r="U52" s="9"/>
      <c r="V52" s="20">
        <f>SUM(V44:V51)</f>
        <v>117883798.23881328</v>
      </c>
      <c r="W52" s="9"/>
      <c r="X52" s="20">
        <f>SUM(X44:X51)</f>
        <v>105459223.14359581</v>
      </c>
      <c r="Y52" s="9"/>
      <c r="Z52" s="20">
        <f>SUM(Z44:Z50)</f>
        <v>106545945.23556943</v>
      </c>
      <c r="AA52" s="9"/>
      <c r="AB52" s="20">
        <f>SUM(AB44:AB51)</f>
        <v>87846089.592029124</v>
      </c>
      <c r="AC52" s="9"/>
      <c r="AD52" s="20">
        <f>SUM(AD44:AD51)</f>
        <v>84758872.158274069</v>
      </c>
      <c r="AE52" s="9"/>
      <c r="AF52" s="20">
        <f>SUM(AF44:AF51)</f>
        <v>84430414.155333385</v>
      </c>
      <c r="AG52" s="9"/>
      <c r="AH52" s="20">
        <f>SUM(AH44:AH50)</f>
        <v>82338192.432937697</v>
      </c>
      <c r="AI52" s="9"/>
      <c r="AJ52" s="20">
        <f>SUM(AJ44:AJ49)</f>
        <v>80558688.714933336</v>
      </c>
      <c r="AK52" s="9"/>
      <c r="AL52" s="20">
        <f>SUM(AL44:AL49)</f>
        <v>77370923.182078749</v>
      </c>
      <c r="AM52" s="9"/>
      <c r="AN52" s="20">
        <f>SUM(AN44:AN49)</f>
        <v>77735739.262137994</v>
      </c>
      <c r="AO52" s="9"/>
      <c r="AP52" s="20">
        <f>SUM(AP44:AP49)</f>
        <v>79581500.104801446</v>
      </c>
      <c r="AQ52" s="20"/>
      <c r="AR52" s="20">
        <f>SUM(AR44:AR49)</f>
        <v>75995309.589501306</v>
      </c>
      <c r="AS52" s="9"/>
      <c r="AT52" s="20">
        <f>SUM(AT44:AT49)</f>
        <v>73136618.626396954</v>
      </c>
      <c r="AU52" s="9"/>
      <c r="AV52" s="20">
        <f>SUM(AV44:AV49)</f>
        <v>71976500.404188678</v>
      </c>
      <c r="AW52" s="9"/>
      <c r="AX52" s="20">
        <f>SUM(AX44:AX49)</f>
        <v>72717118.579158574</v>
      </c>
      <c r="AY52" s="9"/>
      <c r="AZ52" s="20">
        <f>SUM(AZ44:AZ49)</f>
        <v>70252332.410254851</v>
      </c>
      <c r="BA52" s="9"/>
      <c r="BB52" s="20">
        <f>SUM(BB44:BB49)</f>
        <v>70257856.259333342</v>
      </c>
      <c r="BC52" s="9"/>
      <c r="BD52" s="20">
        <f>SUM(BD44:BD49)</f>
        <v>70172453.391101584</v>
      </c>
      <c r="BE52" s="9"/>
      <c r="BF52" s="20">
        <f>SUM(BF44:BF49)</f>
        <v>68902561.201101601</v>
      </c>
      <c r="BG52" s="9"/>
      <c r="BH52" s="20">
        <f>SUM(BH44:BH49)</f>
        <v>61985851.643774971</v>
      </c>
      <c r="BI52" s="9"/>
      <c r="BJ52" s="20">
        <f>SUM(BJ44:BJ49)</f>
        <v>70753323.568013728</v>
      </c>
      <c r="BK52" s="9"/>
      <c r="BL52" s="20">
        <f>SUM(BL44:BL49)</f>
        <v>69134106.858124971</v>
      </c>
      <c r="BM52" s="9"/>
      <c r="BN52" s="20">
        <f>SUM(BN44:BN49)</f>
        <v>61719852.548368745</v>
      </c>
      <c r="BO52" s="9"/>
      <c r="BP52" s="20">
        <f>SUM(BP44:BP49)</f>
        <v>58606376.650627494</v>
      </c>
      <c r="BQ52" s="9"/>
      <c r="BR52" s="20">
        <f>SUM(BR44:BR49)</f>
        <v>58120232.859499998</v>
      </c>
      <c r="BS52" s="9"/>
      <c r="BT52" s="20">
        <f>SUM(BT44:BT49)</f>
        <v>57196951.089999996</v>
      </c>
      <c r="BU52" s="9"/>
      <c r="BV52" s="20">
        <f>SUM(BV44:BV49)</f>
        <v>57634718.685000002</v>
      </c>
      <c r="BW52" s="9"/>
      <c r="BX52" s="20">
        <f>SUM(BX44:BX49)</f>
        <v>56370942.659999996</v>
      </c>
      <c r="BY52" s="9"/>
      <c r="BZ52" s="20">
        <f>SUM(BZ44:BZ49)</f>
        <v>55976021.740000002</v>
      </c>
      <c r="CA52" s="9"/>
      <c r="CB52" s="20">
        <f>SUM(CB44:CB49)</f>
        <v>56276836.369999997</v>
      </c>
      <c r="CC52" s="9"/>
      <c r="CD52" s="20">
        <f>SUM(CD44:CD49)</f>
        <v>56546937.525000006</v>
      </c>
      <c r="CE52" s="9"/>
      <c r="CF52" s="20">
        <f>SUM(CF44:CF49)</f>
        <v>56859004.019999996</v>
      </c>
      <c r="CG52" s="9"/>
      <c r="CH52" s="20">
        <f>SUM(CH44:CH49)</f>
        <v>54407295.129999995</v>
      </c>
      <c r="CI52" s="9"/>
      <c r="CJ52" s="20">
        <f>SUM(CJ44:CJ49)</f>
        <v>57304779.079999998</v>
      </c>
      <c r="CK52" s="9"/>
      <c r="CL52" s="20">
        <f>SUM(CL44:CL49)</f>
        <v>57808741.118600011</v>
      </c>
      <c r="CM52" s="9"/>
      <c r="CN52" s="20">
        <f>SUM(CN44:CN49)</f>
        <v>56848272.199961424</v>
      </c>
      <c r="CO52" s="9"/>
      <c r="CP52" s="20">
        <f>SUM(CP44:CP49)</f>
        <v>56001136.314637445</v>
      </c>
      <c r="CQ52" s="6"/>
      <c r="CR52" s="20">
        <f>SUM(CR44:CR49)</f>
        <v>54975248.772274621</v>
      </c>
      <c r="CS52" s="9"/>
      <c r="CT52" s="20">
        <f>SUM(CT44:CT49)</f>
        <v>54923016.277918212</v>
      </c>
      <c r="CU52" s="9"/>
      <c r="CV52" s="20">
        <f>SUM(CV44:CV49)</f>
        <v>21344703.872191969</v>
      </c>
      <c r="CW52" s="6"/>
      <c r="CX52" s="20">
        <f>SUM(CX44:CX49)</f>
        <v>18352243.030631483</v>
      </c>
      <c r="CY52" s="6"/>
      <c r="CZ52" s="20">
        <f>SUM(CZ44:CZ49)</f>
        <v>17528439.143833227</v>
      </c>
      <c r="DA52" s="9"/>
      <c r="DB52" s="20">
        <f>SUM(DB44:DB49)</f>
        <v>18253587.121429157</v>
      </c>
      <c r="DC52" s="9"/>
    </row>
    <row r="53" spans="2:107">
      <c r="B53" s="9"/>
      <c r="C53" s="9"/>
      <c r="D53" s="18"/>
      <c r="E53" s="9"/>
      <c r="F53" s="18"/>
      <c r="G53" s="9"/>
      <c r="H53" s="18"/>
      <c r="I53" s="9"/>
      <c r="J53" s="18"/>
      <c r="K53" s="9"/>
      <c r="L53" s="18"/>
      <c r="M53" s="9"/>
      <c r="N53" s="18"/>
      <c r="O53" s="9"/>
      <c r="P53" s="18"/>
      <c r="Q53" s="9"/>
      <c r="R53" s="18"/>
      <c r="S53" s="9"/>
      <c r="T53" s="18"/>
      <c r="U53" s="9"/>
      <c r="V53" s="18"/>
      <c r="W53" s="9"/>
      <c r="X53" s="18"/>
      <c r="Y53" s="9"/>
      <c r="Z53" s="18"/>
      <c r="AA53" s="9"/>
      <c r="AB53" s="18"/>
      <c r="AC53" s="9"/>
      <c r="AD53" s="18"/>
      <c r="AE53" s="9"/>
      <c r="AF53" s="18"/>
      <c r="AG53" s="9"/>
      <c r="AH53" s="18"/>
      <c r="AI53" s="9"/>
      <c r="AJ53" s="18"/>
      <c r="AK53" s="9"/>
      <c r="AL53" s="18"/>
      <c r="AM53" s="9"/>
      <c r="AN53" s="18"/>
      <c r="AO53" s="9"/>
      <c r="AP53" s="18"/>
      <c r="AQ53" s="18"/>
      <c r="AR53" s="18"/>
      <c r="AS53" s="9"/>
      <c r="AT53" s="18"/>
      <c r="AU53" s="9"/>
      <c r="AV53" s="18"/>
      <c r="AW53" s="9"/>
      <c r="AX53" s="18"/>
      <c r="AY53" s="9"/>
      <c r="AZ53" s="18"/>
      <c r="BA53" s="9"/>
      <c r="BB53" s="18"/>
      <c r="BC53" s="9"/>
      <c r="BD53" s="18"/>
      <c r="BE53" s="9"/>
      <c r="BF53" s="18"/>
      <c r="BG53" s="9"/>
      <c r="BH53" s="18"/>
      <c r="BI53" s="9"/>
      <c r="BJ53" s="18"/>
      <c r="BK53" s="9"/>
      <c r="BL53" s="18"/>
      <c r="BM53" s="9"/>
      <c r="BN53" s="18"/>
      <c r="BO53" s="9"/>
      <c r="BP53" s="18"/>
      <c r="BQ53" s="9"/>
      <c r="BR53" s="18"/>
      <c r="BS53" s="9"/>
      <c r="BT53" s="18"/>
      <c r="BU53" s="9"/>
      <c r="BV53" s="18"/>
      <c r="BW53" s="9"/>
      <c r="BX53" s="18"/>
      <c r="BY53" s="9"/>
      <c r="BZ53" s="18"/>
      <c r="CA53" s="9"/>
      <c r="CB53" s="18"/>
      <c r="CC53" s="9"/>
      <c r="CD53" s="18"/>
      <c r="CE53" s="9"/>
      <c r="CF53" s="18"/>
      <c r="CG53" s="9"/>
      <c r="CH53" s="18"/>
      <c r="CI53" s="9"/>
      <c r="CJ53" s="18"/>
      <c r="CK53" s="9"/>
      <c r="CL53" s="18"/>
      <c r="CM53" s="9"/>
      <c r="CN53" s="18"/>
      <c r="CO53" s="9"/>
      <c r="CP53" s="18"/>
      <c r="CQ53" s="8"/>
      <c r="CR53" s="18"/>
      <c r="CS53" s="9"/>
      <c r="CT53" s="18"/>
      <c r="CU53" s="9"/>
      <c r="CV53" s="18"/>
      <c r="CW53" s="8"/>
      <c r="CX53" s="18"/>
      <c r="CY53" s="8"/>
      <c r="CZ53" s="18"/>
      <c r="DA53" s="9"/>
      <c r="DB53" s="18"/>
      <c r="DC53" s="9"/>
    </row>
    <row r="54" spans="2:107">
      <c r="B54" s="9" t="s">
        <v>36</v>
      </c>
      <c r="C54" s="9"/>
      <c r="D54" s="7"/>
      <c r="E54" s="9"/>
      <c r="F54" s="7"/>
      <c r="G54" s="9"/>
      <c r="H54" s="7"/>
      <c r="I54" s="9"/>
      <c r="J54" s="7">
        <v>0</v>
      </c>
      <c r="K54" s="9"/>
      <c r="L54" s="7">
        <v>0</v>
      </c>
      <c r="M54" s="9"/>
      <c r="N54" s="7">
        <v>0</v>
      </c>
      <c r="O54" s="9"/>
      <c r="P54" s="7">
        <v>0</v>
      </c>
      <c r="Q54" s="9"/>
      <c r="R54" s="7">
        <v>0</v>
      </c>
      <c r="S54" s="9"/>
      <c r="T54" s="7">
        <v>0</v>
      </c>
      <c r="U54" s="9"/>
      <c r="V54" s="7"/>
      <c r="W54" s="9"/>
      <c r="X54" s="7">
        <v>0</v>
      </c>
      <c r="Y54" s="9"/>
      <c r="Z54" s="7">
        <v>0</v>
      </c>
      <c r="AA54" s="9"/>
      <c r="AB54" s="7">
        <v>0</v>
      </c>
      <c r="AC54" s="9"/>
      <c r="AD54" s="7">
        <v>0</v>
      </c>
      <c r="AE54" s="9"/>
      <c r="AF54" s="7">
        <v>0</v>
      </c>
      <c r="AG54" s="9"/>
      <c r="AH54" s="7">
        <v>0</v>
      </c>
      <c r="AI54" s="9"/>
      <c r="AJ54" s="7">
        <v>0</v>
      </c>
      <c r="AK54" s="9"/>
      <c r="AL54" s="7">
        <v>0</v>
      </c>
      <c r="AM54" s="9"/>
      <c r="AN54" s="7">
        <v>0</v>
      </c>
      <c r="AO54" s="9"/>
      <c r="AP54" s="7">
        <v>0</v>
      </c>
      <c r="AQ54" s="7"/>
      <c r="AR54" s="7">
        <v>0</v>
      </c>
      <c r="AS54" s="9"/>
      <c r="AT54" s="7">
        <v>0</v>
      </c>
      <c r="AU54" s="9"/>
      <c r="AV54" s="7">
        <v>0</v>
      </c>
      <c r="AW54" s="9"/>
      <c r="AX54" s="7">
        <v>0</v>
      </c>
      <c r="AY54" s="9"/>
      <c r="AZ54" s="7"/>
      <c r="BA54" s="9"/>
      <c r="BB54" s="7">
        <v>0</v>
      </c>
      <c r="BC54" s="9"/>
      <c r="BD54" s="7"/>
      <c r="BE54" s="9"/>
      <c r="BF54" s="7">
        <v>0</v>
      </c>
      <c r="BG54" s="9"/>
      <c r="BH54" s="7">
        <v>0</v>
      </c>
      <c r="BI54" s="9"/>
      <c r="BJ54" s="7">
        <v>0</v>
      </c>
      <c r="BK54" s="9"/>
      <c r="BL54" s="7">
        <v>0</v>
      </c>
      <c r="BM54" s="9"/>
      <c r="BN54" s="7"/>
      <c r="BO54" s="9"/>
      <c r="BP54" s="7"/>
      <c r="BQ54" s="9"/>
      <c r="BR54" s="7"/>
      <c r="BS54" s="9"/>
      <c r="BT54" s="7"/>
      <c r="BU54" s="9"/>
      <c r="BV54" s="7"/>
      <c r="BW54" s="9"/>
      <c r="BX54" s="7"/>
      <c r="BY54" s="9"/>
      <c r="BZ54" s="7"/>
      <c r="CA54" s="9"/>
      <c r="CB54" s="7"/>
      <c r="CC54" s="9"/>
      <c r="CD54" s="7"/>
      <c r="CE54" s="9"/>
      <c r="CF54" s="7"/>
      <c r="CG54" s="9"/>
      <c r="CH54" s="7">
        <v>0</v>
      </c>
      <c r="CI54" s="9"/>
      <c r="CJ54" s="7">
        <v>0</v>
      </c>
      <c r="CK54" s="9"/>
      <c r="CL54" s="7"/>
      <c r="CM54" s="9"/>
      <c r="CN54" s="7">
        <v>0</v>
      </c>
      <c r="CO54" s="9"/>
      <c r="CP54" s="7">
        <v>0</v>
      </c>
      <c r="CQ54" s="8"/>
      <c r="CR54" s="7">
        <v>0</v>
      </c>
      <c r="CS54" s="9"/>
      <c r="CT54" s="7">
        <v>0</v>
      </c>
      <c r="CU54" s="9"/>
      <c r="CV54" s="7">
        <v>0</v>
      </c>
      <c r="CW54" s="8"/>
      <c r="CX54" s="7">
        <v>0</v>
      </c>
      <c r="CY54" s="8"/>
      <c r="CZ54" s="7"/>
      <c r="DA54" s="9"/>
      <c r="DB54" s="7"/>
      <c r="DC54" s="9"/>
    </row>
    <row r="55" spans="2:107">
      <c r="B55" s="17"/>
      <c r="C55" s="17"/>
      <c r="D55" s="18"/>
      <c r="E55" s="17"/>
      <c r="F55" s="18"/>
      <c r="G55" s="17"/>
      <c r="H55" s="18"/>
      <c r="I55" s="17"/>
      <c r="J55" s="18"/>
      <c r="K55" s="17"/>
      <c r="L55" s="18"/>
      <c r="M55" s="17"/>
      <c r="N55" s="18"/>
      <c r="O55" s="17"/>
      <c r="P55" s="18"/>
      <c r="Q55" s="17"/>
      <c r="R55" s="18"/>
      <c r="S55" s="17"/>
      <c r="T55" s="18"/>
      <c r="U55" s="17"/>
      <c r="V55" s="18"/>
      <c r="W55" s="17"/>
      <c r="X55" s="18"/>
      <c r="Y55" s="17"/>
      <c r="Z55" s="18"/>
      <c r="AA55" s="17"/>
      <c r="AB55" s="18"/>
      <c r="AC55" s="17"/>
      <c r="AD55" s="18"/>
      <c r="AE55" s="17"/>
      <c r="AF55" s="18"/>
      <c r="AG55" s="17"/>
      <c r="AH55" s="18"/>
      <c r="AI55" s="17"/>
      <c r="AJ55" s="18"/>
      <c r="AK55" s="17"/>
      <c r="AL55" s="18"/>
      <c r="AM55" s="17"/>
      <c r="AN55" s="18"/>
      <c r="AO55" s="17"/>
      <c r="AP55" s="18"/>
      <c r="AQ55" s="18"/>
      <c r="AR55" s="18"/>
      <c r="AS55" s="17"/>
      <c r="AT55" s="18"/>
      <c r="AU55" s="17"/>
      <c r="AV55" s="18"/>
      <c r="AW55" s="17"/>
      <c r="AX55" s="18"/>
      <c r="AY55" s="17"/>
      <c r="AZ55" s="18"/>
      <c r="BA55" s="17"/>
      <c r="BB55" s="18"/>
      <c r="BC55" s="17"/>
      <c r="BD55" s="18"/>
      <c r="BE55" s="17"/>
      <c r="BF55" s="18"/>
      <c r="BG55" s="17"/>
      <c r="BH55" s="18"/>
      <c r="BI55" s="17"/>
      <c r="BJ55" s="18"/>
      <c r="BK55" s="17"/>
      <c r="BL55" s="18"/>
      <c r="BM55" s="17"/>
      <c r="BN55" s="18"/>
      <c r="BO55" s="17"/>
      <c r="BP55" s="18"/>
      <c r="BQ55" s="17"/>
      <c r="BR55" s="18"/>
      <c r="BS55" s="17"/>
      <c r="BT55" s="18"/>
      <c r="BU55" s="17"/>
      <c r="BV55" s="18"/>
      <c r="BW55" s="17"/>
      <c r="BX55" s="18"/>
      <c r="BY55" s="17"/>
      <c r="BZ55" s="18"/>
      <c r="CA55" s="17"/>
      <c r="CB55" s="18"/>
      <c r="CC55" s="17"/>
      <c r="CD55" s="18"/>
      <c r="CE55" s="17"/>
      <c r="CF55" s="18"/>
      <c r="CG55" s="17"/>
      <c r="CH55" s="18"/>
      <c r="CI55" s="17"/>
      <c r="CJ55" s="18"/>
      <c r="CK55" s="17"/>
      <c r="CL55" s="18"/>
      <c r="CM55" s="17"/>
      <c r="CN55" s="18"/>
      <c r="CO55" s="17"/>
      <c r="CP55" s="18"/>
      <c r="CQ55" s="8"/>
      <c r="CR55" s="18"/>
      <c r="CS55" s="17"/>
      <c r="CT55" s="18"/>
      <c r="CU55" s="17"/>
      <c r="CV55" s="18"/>
      <c r="CW55" s="8"/>
      <c r="CX55" s="18"/>
      <c r="CY55" s="8"/>
      <c r="CZ55" s="18"/>
      <c r="DA55" s="17"/>
      <c r="DB55" s="18"/>
      <c r="DC55" s="17"/>
    </row>
    <row r="56" spans="2:107">
      <c r="B56" s="6" t="s">
        <v>37</v>
      </c>
      <c r="C56" s="6"/>
      <c r="D56" s="21"/>
      <c r="E56" s="6"/>
      <c r="F56" s="21"/>
      <c r="G56" s="6"/>
      <c r="H56" s="21"/>
      <c r="I56" s="6"/>
      <c r="J56" s="21">
        <f>J52+J54</f>
        <v>223124898.71404111</v>
      </c>
      <c r="K56" s="6"/>
      <c r="L56" s="21">
        <f>L52+L54</f>
        <v>190023971.75022998</v>
      </c>
      <c r="M56" s="6"/>
      <c r="N56" s="21">
        <f>N52+N54</f>
        <v>171357036.22240806</v>
      </c>
      <c r="O56" s="6"/>
      <c r="P56" s="21">
        <f>P52+P54</f>
        <v>154372900.86173716</v>
      </c>
      <c r="Q56" s="6"/>
      <c r="R56" s="21">
        <f>R52+R54</f>
        <v>168876989.22605538</v>
      </c>
      <c r="S56" s="6"/>
      <c r="T56" s="21">
        <f>T52+T54</f>
        <v>134201013.2197728</v>
      </c>
      <c r="U56" s="6"/>
      <c r="V56" s="21">
        <f>V52+V54</f>
        <v>117883798.23881328</v>
      </c>
      <c r="W56" s="6"/>
      <c r="X56" s="21">
        <f>X52+X54</f>
        <v>105459223.14359581</v>
      </c>
      <c r="Y56" s="6"/>
      <c r="Z56" s="21">
        <f>Z52+Z54</f>
        <v>106545945.23556943</v>
      </c>
      <c r="AA56" s="6"/>
      <c r="AB56" s="21">
        <f>AB52+AB54</f>
        <v>87846089.592029124</v>
      </c>
      <c r="AC56" s="6"/>
      <c r="AD56" s="21">
        <f>AD52+AD54</f>
        <v>84758872.158274069</v>
      </c>
      <c r="AE56" s="6"/>
      <c r="AF56" s="21">
        <f>AF52+AF54</f>
        <v>84430414.155333385</v>
      </c>
      <c r="AG56" s="6"/>
      <c r="AH56" s="21">
        <f>AH52+AH54</f>
        <v>82338192.432937697</v>
      </c>
      <c r="AI56" s="6"/>
      <c r="AJ56" s="21">
        <f>AJ52+AJ54</f>
        <v>80558688.714933336</v>
      </c>
      <c r="AK56" s="6"/>
      <c r="AL56" s="21">
        <f>AL52+AL54</f>
        <v>77370923.182078749</v>
      </c>
      <c r="AM56" s="6"/>
      <c r="AN56" s="21">
        <f>AN52+AN54</f>
        <v>77735739.262137994</v>
      </c>
      <c r="AO56" s="6"/>
      <c r="AP56" s="21">
        <f>AP52+AP54</f>
        <v>79581500.104801446</v>
      </c>
      <c r="AQ56" s="21"/>
      <c r="AR56" s="21">
        <f>AR52+AR54</f>
        <v>75995309.589501306</v>
      </c>
      <c r="AS56" s="6"/>
      <c r="AT56" s="21">
        <f>AT52+AT54</f>
        <v>73136618.626396954</v>
      </c>
      <c r="AU56" s="6"/>
      <c r="AV56" s="21">
        <f>AV52+AV54</f>
        <v>71976500.404188678</v>
      </c>
      <c r="AW56" s="6"/>
      <c r="AX56" s="21">
        <f>AX52+AX54</f>
        <v>72717118.579158574</v>
      </c>
      <c r="AY56" s="6"/>
      <c r="AZ56" s="21">
        <f>AZ52+AZ54</f>
        <v>70252332.410254851</v>
      </c>
      <c r="BA56" s="6"/>
      <c r="BB56" s="21">
        <f>BB52+BB54</f>
        <v>70257856.259333342</v>
      </c>
      <c r="BC56" s="6"/>
      <c r="BD56" s="21">
        <f>BD52+BD54</f>
        <v>70172453.391101584</v>
      </c>
      <c r="BE56" s="6"/>
      <c r="BF56" s="21">
        <f>BF52+BF54</f>
        <v>68902561.201101601</v>
      </c>
      <c r="BG56" s="6"/>
      <c r="BH56" s="21">
        <f>BH52+BH54</f>
        <v>61985851.643774971</v>
      </c>
      <c r="BI56" s="6"/>
      <c r="BJ56" s="21">
        <f>BJ52+BJ54</f>
        <v>70753323.568013728</v>
      </c>
      <c r="BK56" s="6"/>
      <c r="BL56" s="21">
        <f>BL52+BL54</f>
        <v>69134106.858124971</v>
      </c>
      <c r="BM56" s="6"/>
      <c r="BN56" s="21">
        <f>BN52+BN54</f>
        <v>61719852.548368745</v>
      </c>
      <c r="BO56" s="6"/>
      <c r="BP56" s="21">
        <f>BP52+BP54</f>
        <v>58606376.650627494</v>
      </c>
      <c r="BQ56" s="6"/>
      <c r="BR56" s="21">
        <f>BR52+BR54</f>
        <v>58120232.859499998</v>
      </c>
      <c r="BS56" s="6"/>
      <c r="BT56" s="21">
        <f>BT52+BT54</f>
        <v>57196951.089999996</v>
      </c>
      <c r="BU56" s="6"/>
      <c r="BV56" s="21">
        <f>BV52+BV54</f>
        <v>57634718.685000002</v>
      </c>
      <c r="BW56" s="6"/>
      <c r="BX56" s="21">
        <f>BX52+BX54</f>
        <v>56370942.659999996</v>
      </c>
      <c r="BY56" s="6"/>
      <c r="BZ56" s="21">
        <f>BZ52+BZ54</f>
        <v>55976021.740000002</v>
      </c>
      <c r="CA56" s="6"/>
      <c r="CB56" s="21">
        <f>CB52+CB54</f>
        <v>56276836.369999997</v>
      </c>
      <c r="CC56" s="6"/>
      <c r="CD56" s="21">
        <f>CD52+CD54</f>
        <v>56546937.525000006</v>
      </c>
      <c r="CE56" s="6"/>
      <c r="CF56" s="21">
        <f>CF52+CF54</f>
        <v>56859004.019999996</v>
      </c>
      <c r="CG56" s="6"/>
      <c r="CH56" s="21">
        <f>CH52+CH54</f>
        <v>54407295.129999995</v>
      </c>
      <c r="CI56" s="6"/>
      <c r="CJ56" s="21">
        <f>CJ52+CJ54</f>
        <v>57304779.079999998</v>
      </c>
      <c r="CK56" s="6"/>
      <c r="CL56" s="21">
        <f>CL52+CL54</f>
        <v>57808741.118600011</v>
      </c>
      <c r="CM56" s="6"/>
      <c r="CN56" s="21">
        <f>CN52+CN54</f>
        <v>56848272.199961424</v>
      </c>
      <c r="CO56" s="6"/>
      <c r="CP56" s="21">
        <f>CP52+CP54</f>
        <v>56001136.314637445</v>
      </c>
      <c r="CQ56" s="8"/>
      <c r="CR56" s="21">
        <f>CR52+CR54</f>
        <v>54975248.772274621</v>
      </c>
      <c r="CS56" s="6"/>
      <c r="CT56" s="21">
        <f>CT52+CT54</f>
        <v>54923016.277918212</v>
      </c>
      <c r="CU56" s="6"/>
      <c r="CV56" s="21">
        <f>CV52+CV54</f>
        <v>21344703.872191969</v>
      </c>
      <c r="CW56" s="8"/>
      <c r="CX56" s="21">
        <f>CX52+CX54</f>
        <v>18352243.030631483</v>
      </c>
      <c r="CY56" s="8"/>
      <c r="CZ56" s="21">
        <f>CZ52+CZ54</f>
        <v>17528439.143833227</v>
      </c>
      <c r="DA56" s="6"/>
      <c r="DB56" s="21">
        <f>DB52+DB54</f>
        <v>18253587.121429157</v>
      </c>
      <c r="DC56" s="6"/>
    </row>
    <row r="57" spans="2:107">
      <c r="B57" s="19"/>
      <c r="C57" s="19"/>
      <c r="D57" s="18"/>
      <c r="E57" s="19"/>
      <c r="F57" s="18"/>
      <c r="G57" s="19"/>
      <c r="H57" s="18"/>
      <c r="I57" s="19"/>
      <c r="J57" s="18"/>
      <c r="K57" s="19"/>
      <c r="L57" s="18"/>
      <c r="M57" s="19"/>
      <c r="N57" s="18"/>
      <c r="O57" s="19"/>
      <c r="P57" s="18"/>
      <c r="Q57" s="19"/>
      <c r="R57" s="18"/>
      <c r="S57" s="19"/>
      <c r="T57" s="18"/>
      <c r="U57" s="19"/>
      <c r="V57" s="18"/>
      <c r="W57" s="19"/>
      <c r="X57" s="18"/>
      <c r="Y57" s="19"/>
      <c r="Z57" s="18"/>
      <c r="AA57" s="19"/>
      <c r="AB57" s="18"/>
      <c r="AC57" s="19"/>
      <c r="AD57" s="18"/>
      <c r="AE57" s="19"/>
      <c r="AF57" s="18"/>
      <c r="AG57" s="19"/>
      <c r="AH57" s="18"/>
      <c r="AI57" s="19"/>
      <c r="AJ57" s="18"/>
      <c r="AK57" s="19"/>
      <c r="AL57" s="18"/>
      <c r="AM57" s="19"/>
      <c r="AN57" s="18"/>
      <c r="AO57" s="19"/>
      <c r="AP57" s="18"/>
      <c r="AQ57" s="18"/>
      <c r="AR57" s="18"/>
      <c r="AS57" s="19"/>
      <c r="AT57" s="18"/>
      <c r="AU57" s="19"/>
      <c r="AV57" s="18"/>
      <c r="AW57" s="19"/>
      <c r="AX57" s="18"/>
      <c r="AY57" s="19"/>
      <c r="AZ57" s="18"/>
      <c r="BA57" s="19"/>
      <c r="BB57" s="18"/>
      <c r="BC57" s="19"/>
      <c r="BD57" s="18"/>
      <c r="BE57" s="19"/>
      <c r="BF57" s="18"/>
      <c r="BG57" s="19"/>
      <c r="BH57" s="18"/>
      <c r="BI57" s="19"/>
      <c r="BJ57" s="18"/>
      <c r="BK57" s="19"/>
      <c r="BL57" s="18"/>
      <c r="BM57" s="19"/>
      <c r="BN57" s="18"/>
      <c r="BO57" s="19"/>
      <c r="BP57" s="18"/>
      <c r="BQ57" s="19"/>
      <c r="BR57" s="18"/>
      <c r="BS57" s="19"/>
      <c r="BT57" s="18"/>
      <c r="BU57" s="19"/>
      <c r="BV57" s="18"/>
      <c r="BW57" s="19"/>
      <c r="BX57" s="18"/>
      <c r="BY57" s="19"/>
      <c r="BZ57" s="18"/>
      <c r="CA57" s="19"/>
      <c r="CB57" s="18"/>
      <c r="CC57" s="19"/>
      <c r="CD57" s="18"/>
      <c r="CE57" s="19"/>
      <c r="CF57" s="18"/>
      <c r="CG57" s="19"/>
      <c r="CH57" s="18"/>
      <c r="CI57" s="19"/>
      <c r="CJ57" s="18"/>
      <c r="CK57" s="19"/>
      <c r="CL57" s="18"/>
      <c r="CM57" s="19"/>
      <c r="CN57" s="18"/>
      <c r="CO57" s="19"/>
      <c r="CP57" s="18"/>
      <c r="CQ57" s="8"/>
      <c r="CR57" s="18"/>
      <c r="CS57" s="19"/>
      <c r="CT57" s="18"/>
      <c r="CU57" s="19"/>
      <c r="CV57" s="18"/>
      <c r="CW57" s="8"/>
      <c r="CX57" s="18"/>
      <c r="CY57" s="8"/>
      <c r="CZ57" s="18"/>
      <c r="DA57" s="19"/>
      <c r="DB57" s="18"/>
      <c r="DC57" s="19"/>
    </row>
    <row r="58" spans="2:107">
      <c r="B58" s="6" t="s">
        <v>38</v>
      </c>
      <c r="C58" s="6"/>
      <c r="D58" s="22"/>
      <c r="E58" s="6"/>
      <c r="F58" s="22"/>
      <c r="G58" s="6"/>
      <c r="H58" s="22"/>
      <c r="I58" s="6"/>
      <c r="J58" s="22"/>
      <c r="K58" s="6"/>
      <c r="L58" s="22"/>
      <c r="M58" s="6"/>
      <c r="N58" s="22"/>
      <c r="O58" s="6"/>
      <c r="P58" s="22"/>
      <c r="Q58" s="6"/>
      <c r="R58" s="22"/>
      <c r="S58" s="6"/>
      <c r="T58" s="22"/>
      <c r="U58" s="6"/>
      <c r="V58" s="22"/>
      <c r="W58" s="6"/>
      <c r="X58" s="22"/>
      <c r="Y58" s="6"/>
      <c r="Z58" s="22"/>
      <c r="AA58" s="6"/>
      <c r="AB58" s="22"/>
      <c r="AC58" s="6"/>
      <c r="AD58" s="22"/>
      <c r="AE58" s="6"/>
      <c r="AF58" s="22"/>
      <c r="AG58" s="6"/>
      <c r="AH58" s="22"/>
      <c r="AI58" s="6"/>
      <c r="AJ58" s="22"/>
      <c r="AK58" s="6"/>
      <c r="AL58" s="22"/>
      <c r="AM58" s="6"/>
      <c r="AN58" s="22"/>
      <c r="AO58" s="6"/>
      <c r="AP58" s="22"/>
      <c r="AQ58" s="22"/>
      <c r="AR58" s="22"/>
      <c r="AS58" s="6"/>
      <c r="AT58" s="22"/>
      <c r="AU58" s="6"/>
      <c r="AV58" s="22"/>
      <c r="AW58" s="6"/>
      <c r="AX58" s="22"/>
      <c r="AY58" s="6"/>
      <c r="AZ58" s="22"/>
      <c r="BA58" s="6"/>
      <c r="BB58" s="22"/>
      <c r="BC58" s="6"/>
      <c r="BD58" s="22"/>
      <c r="BE58" s="6"/>
      <c r="BF58" s="22"/>
      <c r="BG58" s="6"/>
      <c r="BH58" s="22"/>
      <c r="BI58" s="6"/>
      <c r="BJ58" s="22"/>
      <c r="BK58" s="6"/>
      <c r="BL58" s="22"/>
      <c r="BM58" s="6"/>
      <c r="BN58" s="22"/>
      <c r="BO58" s="6"/>
      <c r="BP58" s="22"/>
      <c r="BQ58" s="6"/>
      <c r="BR58" s="22"/>
      <c r="BS58" s="6"/>
      <c r="BT58" s="22"/>
      <c r="BU58" s="6"/>
      <c r="BV58" s="22"/>
      <c r="BW58" s="6"/>
      <c r="BX58" s="22"/>
      <c r="BY58" s="6"/>
      <c r="BZ58" s="22"/>
      <c r="CA58" s="6"/>
      <c r="CB58" s="22"/>
      <c r="CC58" s="6"/>
      <c r="CD58" s="22"/>
      <c r="CE58" s="6"/>
      <c r="CF58" s="22"/>
      <c r="CG58" s="6"/>
      <c r="CH58" s="22"/>
      <c r="CI58" s="6"/>
      <c r="CJ58" s="22"/>
      <c r="CK58" s="6"/>
      <c r="CL58" s="22"/>
      <c r="CM58" s="6"/>
      <c r="CN58" s="22"/>
      <c r="CO58" s="6"/>
      <c r="CP58" s="22"/>
      <c r="CQ58" s="8"/>
      <c r="CR58" s="22"/>
      <c r="CS58" s="6"/>
      <c r="CT58" s="22"/>
      <c r="CU58" s="6"/>
      <c r="CV58" s="22"/>
      <c r="CW58" s="8"/>
      <c r="CX58" s="22"/>
      <c r="CY58" s="8"/>
      <c r="CZ58" s="22"/>
      <c r="DA58" s="6"/>
      <c r="DB58" s="22"/>
      <c r="DC58" s="6"/>
    </row>
    <row r="59" spans="2:107">
      <c r="B59" s="8" t="s">
        <v>39</v>
      </c>
      <c r="C59" s="8"/>
      <c r="D59" s="7"/>
      <c r="E59" s="8"/>
      <c r="F59" s="7"/>
      <c r="G59" s="8"/>
      <c r="H59" s="7"/>
      <c r="I59" s="8"/>
      <c r="J59" s="7">
        <v>0</v>
      </c>
      <c r="K59" s="8"/>
      <c r="L59" s="7">
        <v>0</v>
      </c>
      <c r="M59" s="8"/>
      <c r="N59" s="7">
        <v>0</v>
      </c>
      <c r="O59" s="8"/>
      <c r="P59" s="7">
        <v>0</v>
      </c>
      <c r="Q59" s="8"/>
      <c r="R59" s="7">
        <v>0</v>
      </c>
      <c r="S59" s="8"/>
      <c r="T59" s="7">
        <v>0</v>
      </c>
      <c r="U59" s="8"/>
      <c r="V59" s="7">
        <v>0</v>
      </c>
      <c r="W59" s="8"/>
      <c r="X59" s="7">
        <v>0</v>
      </c>
      <c r="Y59" s="8"/>
      <c r="Z59" s="7">
        <v>644657.51999998186</v>
      </c>
      <c r="AA59" s="8"/>
      <c r="AB59" s="7">
        <v>1300000</v>
      </c>
      <c r="AC59" s="8"/>
      <c r="AD59" s="7">
        <v>1950000</v>
      </c>
      <c r="AE59" s="8"/>
      <c r="AF59" s="7">
        <v>2598595.7400000002</v>
      </c>
      <c r="AG59" s="8"/>
      <c r="AH59" s="7">
        <v>3302847.3800000004</v>
      </c>
      <c r="AI59" s="8"/>
      <c r="AJ59" s="7">
        <v>4007099.0500000007</v>
      </c>
      <c r="AK59" s="8"/>
      <c r="AL59" s="7">
        <v>4711350.7100000009</v>
      </c>
      <c r="AM59" s="8"/>
      <c r="AN59" s="7">
        <v>5694022.370000001</v>
      </c>
      <c r="AO59" s="8"/>
      <c r="AP59" s="7">
        <v>7402356.6900000013</v>
      </c>
      <c r="AQ59" s="7"/>
      <c r="AR59" s="7">
        <v>7458520.2200000007</v>
      </c>
      <c r="AS59" s="8"/>
      <c r="AT59" s="7">
        <v>8042357.3499999996</v>
      </c>
      <c r="AU59" s="8"/>
      <c r="AV59" s="7">
        <v>7654358.0099999998</v>
      </c>
      <c r="AW59" s="8"/>
      <c r="AX59" s="7">
        <v>8294358.669999999</v>
      </c>
      <c r="AY59" s="8"/>
      <c r="AZ59" s="7">
        <v>8934359.3300000001</v>
      </c>
      <c r="BA59" s="8"/>
      <c r="BB59" s="7">
        <v>9603448.9900000002</v>
      </c>
      <c r="BC59" s="8"/>
      <c r="BD59" s="7">
        <v>7511778.0599999996</v>
      </c>
      <c r="BE59" s="8"/>
      <c r="BF59" s="7">
        <v>8993906.4700000007</v>
      </c>
      <c r="BG59" s="8"/>
      <c r="BH59" s="7">
        <v>10352104.880000001</v>
      </c>
      <c r="BI59" s="8"/>
      <c r="BJ59" s="7">
        <v>14738623.18</v>
      </c>
      <c r="BK59" s="8"/>
      <c r="BL59" s="7">
        <v>14941104.620000001</v>
      </c>
      <c r="BM59" s="8"/>
      <c r="BN59" s="7">
        <v>359002.45000000019</v>
      </c>
      <c r="BO59" s="8"/>
      <c r="BP59" s="7">
        <v>713726.21000000043</v>
      </c>
      <c r="BQ59" s="8"/>
      <c r="BR59" s="7">
        <v>1064221.3200000003</v>
      </c>
      <c r="BS59" s="8"/>
      <c r="BT59" s="7">
        <v>1410538.1600000001</v>
      </c>
      <c r="BU59" s="8"/>
      <c r="BV59" s="7">
        <v>1752726.55</v>
      </c>
      <c r="BW59" s="8"/>
      <c r="BX59" s="7">
        <v>2090835.69</v>
      </c>
      <c r="BY59" s="8"/>
      <c r="BZ59" s="7">
        <v>2424914.25</v>
      </c>
      <c r="CA59" s="8"/>
      <c r="CB59" s="7">
        <v>2755010.23</v>
      </c>
      <c r="CC59" s="8"/>
      <c r="CD59" s="7">
        <v>3081171.13</v>
      </c>
      <c r="CE59" s="8"/>
      <c r="CF59" s="7">
        <v>3403443.85</v>
      </c>
      <c r="CG59" s="8"/>
      <c r="CH59" s="7">
        <v>4294833.12</v>
      </c>
      <c r="CI59" s="8"/>
      <c r="CJ59" s="7">
        <v>5174338.82</v>
      </c>
      <c r="CK59" s="8"/>
      <c r="CL59" s="7">
        <v>6042120.2300000004</v>
      </c>
      <c r="CM59" s="8"/>
      <c r="CN59" s="7">
        <v>6898334.5800000001</v>
      </c>
      <c r="CO59" s="8"/>
      <c r="CP59" s="7">
        <v>7743137.0199999996</v>
      </c>
      <c r="CQ59" s="8"/>
      <c r="CR59" s="7">
        <v>8576680.5999999996</v>
      </c>
      <c r="CS59" s="8"/>
      <c r="CT59" s="7">
        <v>6377374.5599999996</v>
      </c>
      <c r="CU59" s="8"/>
      <c r="CV59" s="7">
        <v>4438231.47</v>
      </c>
      <c r="CW59" s="8"/>
      <c r="CX59" s="7">
        <v>4966551.6900000004</v>
      </c>
      <c r="CY59" s="8"/>
      <c r="CZ59" s="7">
        <v>5913390.8799999999</v>
      </c>
      <c r="DA59" s="8"/>
      <c r="DB59" s="7">
        <v>7770307.8300000001</v>
      </c>
      <c r="DC59" s="8"/>
    </row>
    <row r="60" spans="2:107">
      <c r="B60" s="23" t="s">
        <v>40</v>
      </c>
      <c r="C60" s="23"/>
      <c r="D60" s="7"/>
      <c r="E60" s="23"/>
      <c r="F60" s="7"/>
      <c r="G60" s="23"/>
      <c r="H60" s="7"/>
      <c r="I60" s="23"/>
      <c r="J60" s="7">
        <v>6064751.2466893662</v>
      </c>
      <c r="K60" s="23"/>
      <c r="L60" s="7">
        <v>5648465.4470595671</v>
      </c>
      <c r="M60" s="23"/>
      <c r="N60" s="7">
        <v>4233331.321970081</v>
      </c>
      <c r="O60" s="23"/>
      <c r="P60" s="7">
        <v>4196305.1688516531</v>
      </c>
      <c r="Q60" s="23"/>
      <c r="R60" s="7">
        <v>4140141.0719127655</v>
      </c>
      <c r="S60" s="23"/>
      <c r="T60" s="7">
        <v>11580145.805913229</v>
      </c>
      <c r="U60" s="23"/>
      <c r="V60" s="7">
        <v>10457377.566337138</v>
      </c>
      <c r="W60" s="23"/>
      <c r="X60" s="7">
        <v>11081041.471270343</v>
      </c>
      <c r="Y60" s="23"/>
      <c r="Z60" s="7">
        <v>10833857.313038262</v>
      </c>
      <c r="AA60" s="23"/>
      <c r="AB60" s="7">
        <v>11771204.313501345</v>
      </c>
      <c r="AC60" s="23"/>
      <c r="AD60" s="7">
        <v>12704353.467407236</v>
      </c>
      <c r="AE60" s="23"/>
      <c r="AF60" s="7">
        <v>13450733.553301467</v>
      </c>
      <c r="AG60" s="23"/>
      <c r="AH60" s="7">
        <v>282275.28000000003</v>
      </c>
      <c r="AI60" s="23"/>
      <c r="AJ60" s="7">
        <v>282275.28000000003</v>
      </c>
      <c r="AK60" s="23"/>
      <c r="AL60" s="7">
        <v>423412.92</v>
      </c>
      <c r="AM60" s="23"/>
      <c r="AN60" s="7">
        <v>423412.92</v>
      </c>
      <c r="AO60" s="23"/>
      <c r="AP60" s="7">
        <v>423412.92</v>
      </c>
      <c r="AQ60" s="7"/>
      <c r="AR60" s="7">
        <v>423412.92</v>
      </c>
      <c r="AS60" s="23"/>
      <c r="AT60" s="7">
        <v>0</v>
      </c>
      <c r="AU60" s="23"/>
      <c r="AV60" s="7">
        <v>0</v>
      </c>
      <c r="AW60" s="23"/>
      <c r="AX60" s="7">
        <v>0</v>
      </c>
      <c r="AY60" s="23"/>
      <c r="AZ60" s="7">
        <v>0</v>
      </c>
      <c r="BA60" s="23"/>
      <c r="BB60" s="7">
        <v>0</v>
      </c>
      <c r="BC60" s="23"/>
      <c r="BD60" s="7">
        <v>0</v>
      </c>
      <c r="BE60" s="23"/>
      <c r="BF60" s="7">
        <v>92090.1</v>
      </c>
      <c r="BG60" s="23"/>
      <c r="BH60" s="7">
        <v>184180.2</v>
      </c>
      <c r="BI60" s="23"/>
      <c r="BJ60" s="7">
        <v>276270.28000000003</v>
      </c>
      <c r="BK60" s="23"/>
      <c r="BL60" s="7">
        <v>368360.38</v>
      </c>
      <c r="BM60" s="23"/>
      <c r="BN60" s="7">
        <v>460450.51</v>
      </c>
      <c r="BO60" s="23"/>
      <c r="BP60" s="7">
        <v>552540.64</v>
      </c>
      <c r="BQ60" s="23"/>
      <c r="BR60" s="7">
        <v>644630.77</v>
      </c>
      <c r="BS60" s="23"/>
      <c r="BT60" s="7">
        <v>736720.9</v>
      </c>
      <c r="BU60" s="23"/>
      <c r="BV60" s="7">
        <v>828811.03</v>
      </c>
      <c r="BW60" s="23"/>
      <c r="BX60" s="7">
        <v>929995.47</v>
      </c>
      <c r="BY60" s="23"/>
      <c r="BZ60" s="7">
        <v>1049369.1599999999</v>
      </c>
      <c r="CA60" s="23"/>
      <c r="CB60" s="7">
        <v>1168742.8500000001</v>
      </c>
      <c r="CC60" s="23"/>
      <c r="CD60" s="7">
        <v>1196026.4099999999</v>
      </c>
      <c r="CE60" s="23"/>
      <c r="CF60" s="7">
        <v>1223309.97</v>
      </c>
      <c r="CG60" s="23"/>
      <c r="CH60" s="7">
        <v>239150.38</v>
      </c>
      <c r="CI60" s="23"/>
      <c r="CJ60" s="7">
        <v>366149.65</v>
      </c>
      <c r="CK60" s="23"/>
      <c r="CL60" s="7">
        <v>493148.92000000004</v>
      </c>
      <c r="CM60" s="23"/>
      <c r="CN60" s="7">
        <v>615140.47521035466</v>
      </c>
      <c r="CO60" s="23"/>
      <c r="CP60" s="7">
        <v>735679.09796134243</v>
      </c>
      <c r="CQ60" s="9"/>
      <c r="CR60" s="7">
        <v>854787.07596328238</v>
      </c>
      <c r="CS60" s="23"/>
      <c r="CT60" s="7">
        <v>972486.35702616593</v>
      </c>
      <c r="CU60" s="23"/>
      <c r="CV60" s="7">
        <v>752301.52225419844</v>
      </c>
      <c r="CW60" s="9"/>
      <c r="CX60" s="7">
        <v>839964.35121127288</v>
      </c>
      <c r="CY60" s="9"/>
      <c r="CZ60" s="7">
        <v>1011276.0813058824</v>
      </c>
      <c r="DA60" s="23"/>
      <c r="DB60" s="7">
        <v>1338410.54</v>
      </c>
      <c r="DC60" s="23"/>
    </row>
    <row r="61" spans="2:107" hidden="1">
      <c r="B61" s="8" t="s">
        <v>41</v>
      </c>
      <c r="C61" s="8"/>
      <c r="D61" s="7"/>
      <c r="E61" s="8"/>
      <c r="F61" s="7"/>
      <c r="G61" s="8"/>
      <c r="H61" s="7"/>
      <c r="I61" s="8"/>
      <c r="J61" s="7"/>
      <c r="K61" s="8"/>
      <c r="L61" s="7"/>
      <c r="M61" s="8"/>
      <c r="N61" s="7"/>
      <c r="O61" s="8"/>
      <c r="P61" s="7"/>
      <c r="Q61" s="8"/>
      <c r="R61" s="7"/>
      <c r="S61" s="8"/>
      <c r="T61" s="7"/>
      <c r="U61" s="8"/>
      <c r="V61" s="7"/>
      <c r="W61" s="8"/>
      <c r="X61" s="7"/>
      <c r="Y61" s="8"/>
      <c r="Z61" s="7"/>
      <c r="AA61" s="8"/>
      <c r="AB61" s="7"/>
      <c r="AC61" s="8"/>
      <c r="AD61" s="7"/>
      <c r="AE61" s="8"/>
      <c r="AF61" s="7"/>
      <c r="AG61" s="8"/>
      <c r="AH61" s="7">
        <v>0</v>
      </c>
      <c r="AI61" s="8"/>
      <c r="AJ61" s="7"/>
      <c r="AK61" s="8"/>
      <c r="AL61" s="7"/>
      <c r="AM61" s="8"/>
      <c r="AN61" s="7"/>
      <c r="AO61" s="8"/>
      <c r="AP61" s="7">
        <v>0</v>
      </c>
      <c r="AQ61" s="7"/>
      <c r="AR61" s="7"/>
      <c r="AS61" s="8"/>
      <c r="AT61" s="7"/>
      <c r="AU61" s="8"/>
      <c r="AV61" s="7">
        <f>SUM(AV62:AV64)</f>
        <v>3626544.3260583496</v>
      </c>
      <c r="AW61" s="8"/>
      <c r="AX61" s="7">
        <f>SUM(AX62:AX64)</f>
        <v>3361758.3667814815</v>
      </c>
      <c r="AY61" s="8"/>
      <c r="AZ61" s="7">
        <v>363534.52</v>
      </c>
      <c r="BA61" s="8"/>
      <c r="BB61" s="7">
        <f>SUM(BB62:BB64)</f>
        <v>512404.82</v>
      </c>
      <c r="BC61" s="8"/>
      <c r="BD61" s="7">
        <v>584589.15</v>
      </c>
      <c r="BE61" s="8"/>
      <c r="BF61" s="7">
        <f>SUM(BF62:BF64)</f>
        <v>639878.97</v>
      </c>
      <c r="BG61" s="8"/>
      <c r="BH61" s="7">
        <v>417112.73000000004</v>
      </c>
      <c r="BI61" s="8"/>
      <c r="BJ61" s="7">
        <f>SUM(BJ62:BJ64)</f>
        <v>458192.17000000004</v>
      </c>
      <c r="BK61" s="8"/>
      <c r="BL61" s="7">
        <f>SUM(BL62:BL64)</f>
        <v>590767.87</v>
      </c>
      <c r="BM61" s="8"/>
      <c r="BN61" s="7">
        <v>724007.21</v>
      </c>
      <c r="BO61" s="8"/>
      <c r="BP61" s="7">
        <v>1029859.62</v>
      </c>
      <c r="BQ61" s="8"/>
      <c r="BR61" s="7">
        <f>SUM(BR62:BR64)</f>
        <v>1200969.8999999999</v>
      </c>
      <c r="BS61" s="8"/>
      <c r="BT61" s="7">
        <f>SUM(BT62:BT64)</f>
        <v>829275.58</v>
      </c>
      <c r="BU61" s="8"/>
      <c r="BV61" s="7">
        <f>SUM(BV62:BV64)</f>
        <v>979506.36</v>
      </c>
      <c r="BW61" s="8"/>
      <c r="BX61" s="7">
        <v>1078049.6499999999</v>
      </c>
      <c r="BY61" s="8"/>
      <c r="BZ61" s="7">
        <f>SUM(BZ62:BZ64)</f>
        <v>1098522.02</v>
      </c>
      <c r="CA61" s="8"/>
      <c r="CB61" s="7">
        <f>SUM(CB62:CB64)</f>
        <v>1153627.48</v>
      </c>
      <c r="CC61" s="8"/>
      <c r="CD61" s="7">
        <f>SUM(CD62:CD64)</f>
        <v>1360839.24</v>
      </c>
      <c r="CE61" s="8"/>
      <c r="CF61" s="7">
        <v>1240844.78</v>
      </c>
      <c r="CG61" s="8"/>
      <c r="CH61" s="7">
        <v>1469158.3800000001</v>
      </c>
      <c r="CI61" s="8"/>
      <c r="CJ61" s="7">
        <v>1726510.0800000001</v>
      </c>
      <c r="CK61" s="8"/>
      <c r="CL61" s="7">
        <f>SUM(CL62:CL64)</f>
        <v>1581357.07</v>
      </c>
      <c r="CM61" s="8"/>
      <c r="CN61" s="18">
        <f>SUM(CN62:CN64)</f>
        <v>1792038.81</v>
      </c>
      <c r="CO61" s="8"/>
      <c r="CP61" s="18">
        <f>SUM(CP62:CP64)</f>
        <v>1736597.13</v>
      </c>
      <c r="CQ61" s="6"/>
      <c r="CR61" s="18">
        <f>SUM(CR62:CR64)</f>
        <v>1542137.38</v>
      </c>
      <c r="CS61" s="8"/>
      <c r="CT61" s="7">
        <v>1567170.61</v>
      </c>
      <c r="CU61" s="8"/>
      <c r="CV61" s="18">
        <f>SUM(CV62:CV64)</f>
        <v>783393.81</v>
      </c>
      <c r="CW61" s="6"/>
      <c r="CX61" s="18">
        <f>SUM(CX62:CX64)</f>
        <v>986766.22</v>
      </c>
      <c r="CY61" s="6"/>
      <c r="CZ61" s="7">
        <v>1043774.69</v>
      </c>
      <c r="DA61" s="8"/>
      <c r="DB61" s="7">
        <v>1606332.3134144489</v>
      </c>
      <c r="DC61" s="8"/>
    </row>
    <row r="62" spans="2:107">
      <c r="B62" s="23" t="s">
        <v>42</v>
      </c>
      <c r="C62" s="24"/>
      <c r="D62" s="7"/>
      <c r="E62" s="24"/>
      <c r="F62" s="7"/>
      <c r="G62" s="24"/>
      <c r="H62" s="7"/>
      <c r="I62" s="24"/>
      <c r="J62" s="7">
        <v>0</v>
      </c>
      <c r="K62" s="24"/>
      <c r="L62" s="7">
        <v>0</v>
      </c>
      <c r="M62" s="24"/>
      <c r="N62" s="7">
        <v>0</v>
      </c>
      <c r="O62" s="24"/>
      <c r="P62" s="7">
        <v>0</v>
      </c>
      <c r="Q62" s="24"/>
      <c r="R62" s="7">
        <v>0</v>
      </c>
      <c r="S62" s="24"/>
      <c r="T62" s="7">
        <v>0</v>
      </c>
      <c r="U62" s="24"/>
      <c r="V62" s="7">
        <v>0</v>
      </c>
      <c r="W62" s="24"/>
      <c r="X62" s="7">
        <v>0</v>
      </c>
      <c r="Y62" s="24"/>
      <c r="Z62" s="7">
        <v>0</v>
      </c>
      <c r="AA62" s="24"/>
      <c r="AB62" s="7">
        <v>0</v>
      </c>
      <c r="AC62" s="24"/>
      <c r="AD62" s="7">
        <v>0</v>
      </c>
      <c r="AE62" s="24"/>
      <c r="AF62" s="7">
        <v>0</v>
      </c>
      <c r="AG62" s="24"/>
      <c r="AH62" s="7">
        <v>0</v>
      </c>
      <c r="AI62" s="24"/>
      <c r="AJ62" s="7">
        <v>0</v>
      </c>
      <c r="AK62" s="24"/>
      <c r="AL62" s="7">
        <v>0</v>
      </c>
      <c r="AM62" s="24"/>
      <c r="AN62" s="7">
        <v>0</v>
      </c>
      <c r="AO62" s="24"/>
      <c r="AP62" s="7">
        <v>0</v>
      </c>
      <c r="AQ62" s="7"/>
      <c r="AR62" s="7">
        <v>0</v>
      </c>
      <c r="AS62" s="24"/>
      <c r="AT62" s="7">
        <v>0</v>
      </c>
      <c r="AU62" s="24"/>
      <c r="AV62" s="7">
        <v>0</v>
      </c>
      <c r="AW62" s="24"/>
      <c r="AX62" s="7">
        <v>0</v>
      </c>
      <c r="AY62" s="24"/>
      <c r="AZ62" s="7">
        <v>0</v>
      </c>
      <c r="BA62" s="24"/>
      <c r="BB62" s="7">
        <v>0</v>
      </c>
      <c r="BC62" s="24"/>
      <c r="BD62" s="7">
        <v>0</v>
      </c>
      <c r="BE62" s="24"/>
      <c r="BF62" s="7">
        <v>0</v>
      </c>
      <c r="BG62" s="24"/>
      <c r="BH62" s="7">
        <v>0</v>
      </c>
      <c r="BI62" s="24"/>
      <c r="BJ62" s="7">
        <v>0</v>
      </c>
      <c r="BK62" s="24"/>
      <c r="BL62" s="7">
        <v>0</v>
      </c>
      <c r="BM62" s="24"/>
      <c r="BN62" s="7">
        <v>0</v>
      </c>
      <c r="BO62" s="24"/>
      <c r="BP62" s="7">
        <v>0</v>
      </c>
      <c r="BQ62" s="24"/>
      <c r="BR62" s="7">
        <v>0</v>
      </c>
      <c r="BS62" s="24"/>
      <c r="BT62" s="7">
        <v>0</v>
      </c>
      <c r="BU62" s="24"/>
      <c r="BV62" s="7">
        <v>0</v>
      </c>
      <c r="BW62" s="24"/>
      <c r="BX62" s="7">
        <v>0</v>
      </c>
      <c r="BY62" s="24"/>
      <c r="BZ62" s="7">
        <v>0</v>
      </c>
      <c r="CA62" s="24"/>
      <c r="CB62" s="7">
        <v>0</v>
      </c>
      <c r="CC62" s="24"/>
      <c r="CD62" s="7">
        <v>0</v>
      </c>
      <c r="CE62" s="24"/>
      <c r="CF62" s="7">
        <v>0</v>
      </c>
      <c r="CG62" s="24"/>
      <c r="CH62" s="7">
        <v>0</v>
      </c>
      <c r="CI62" s="24"/>
      <c r="CJ62" s="7">
        <v>0</v>
      </c>
      <c r="CK62" s="24"/>
      <c r="CL62" s="7">
        <v>0</v>
      </c>
      <c r="CM62" s="24"/>
      <c r="CN62" s="7">
        <v>0</v>
      </c>
      <c r="CO62" s="24"/>
      <c r="CP62" s="7">
        <v>0</v>
      </c>
      <c r="CQ62" s="8"/>
      <c r="CR62" s="7">
        <v>0</v>
      </c>
      <c r="CS62" s="24"/>
      <c r="CT62" s="7">
        <v>0</v>
      </c>
      <c r="CU62" s="24"/>
      <c r="CV62" s="7">
        <v>0</v>
      </c>
      <c r="CW62" s="8"/>
      <c r="CX62" s="7">
        <v>0</v>
      </c>
      <c r="CY62" s="8"/>
      <c r="CZ62" s="7">
        <v>0</v>
      </c>
      <c r="DA62" s="24"/>
      <c r="DB62" s="7">
        <v>0</v>
      </c>
      <c r="DC62" s="24"/>
    </row>
    <row r="63" spans="2:107">
      <c r="B63" s="23" t="s">
        <v>291</v>
      </c>
      <c r="C63" s="24"/>
      <c r="D63" s="7"/>
      <c r="E63" s="24"/>
      <c r="F63" s="7"/>
      <c r="G63" s="24"/>
      <c r="H63" s="7"/>
      <c r="I63" s="24"/>
      <c r="J63" s="7">
        <v>15633456.906583356</v>
      </c>
      <c r="K63" s="24"/>
      <c r="L63" s="7">
        <v>19169450.117828399</v>
      </c>
      <c r="M63" s="24"/>
      <c r="N63" s="7">
        <v>13160022.486254256</v>
      </c>
      <c r="O63" s="24"/>
      <c r="P63" s="7">
        <v>13622255.80560662</v>
      </c>
      <c r="Q63" s="24"/>
      <c r="R63" s="7">
        <v>10882732.621128656</v>
      </c>
      <c r="S63" s="24"/>
      <c r="T63" s="7">
        <v>13848334.8722069</v>
      </c>
      <c r="U63" s="24"/>
      <c r="V63" s="7">
        <v>13425751.184113745</v>
      </c>
      <c r="W63" s="24"/>
      <c r="X63" s="7">
        <v>8232597.4795875242</v>
      </c>
      <c r="Y63" s="24"/>
      <c r="Z63" s="7">
        <v>8396480.7745327409</v>
      </c>
      <c r="AA63" s="24"/>
      <c r="AB63" s="7">
        <v>11911322.338901179</v>
      </c>
      <c r="AC63" s="24"/>
      <c r="AD63" s="7">
        <v>14070564.988032853</v>
      </c>
      <c r="AE63" s="24"/>
      <c r="AF63" s="7">
        <v>10600333.689867629</v>
      </c>
      <c r="AG63" s="24"/>
      <c r="AH63" s="7">
        <v>11009075.139772918</v>
      </c>
      <c r="AI63" s="24"/>
      <c r="AJ63" s="7">
        <v>7700751.2699999996</v>
      </c>
      <c r="AK63" s="24"/>
      <c r="AL63" s="7">
        <v>6498680.4034781698</v>
      </c>
      <c r="AM63" s="24"/>
      <c r="AN63" s="7">
        <v>6859278.8979538232</v>
      </c>
      <c r="AO63" s="24"/>
      <c r="AP63" s="7">
        <v>6844482.7138835182</v>
      </c>
      <c r="AQ63" s="7"/>
      <c r="AR63" s="7">
        <v>7261981.1525333952</v>
      </c>
      <c r="AS63" s="24"/>
      <c r="AT63" s="7">
        <v>3634243.7781973379</v>
      </c>
      <c r="AU63" s="24"/>
      <c r="AV63" s="7">
        <v>3626544.3260583496</v>
      </c>
      <c r="AW63" s="24"/>
      <c r="AX63" s="7">
        <v>3361758.3667814815</v>
      </c>
      <c r="AY63" s="24"/>
      <c r="AZ63" s="7">
        <v>363534.52</v>
      </c>
      <c r="BA63" s="24"/>
      <c r="BB63" s="7">
        <v>512404.82</v>
      </c>
      <c r="BC63" s="24"/>
      <c r="BD63" s="7">
        <v>584589.15</v>
      </c>
      <c r="BE63" s="24"/>
      <c r="BF63" s="7">
        <v>639878.97</v>
      </c>
      <c r="BG63" s="24"/>
      <c r="BH63" s="7">
        <v>417112.73000000004</v>
      </c>
      <c r="BI63" s="24"/>
      <c r="BJ63" s="7">
        <v>458192.17000000004</v>
      </c>
      <c r="BK63" s="24"/>
      <c r="BL63" s="7">
        <v>590767.87</v>
      </c>
      <c r="BM63" s="24"/>
      <c r="BN63" s="7">
        <v>724007.21</v>
      </c>
      <c r="BO63" s="24"/>
      <c r="BP63" s="7">
        <v>1029859.62</v>
      </c>
      <c r="BQ63" s="24"/>
      <c r="BR63" s="7">
        <v>1200969.8999999999</v>
      </c>
      <c r="BS63" s="24"/>
      <c r="BT63" s="7">
        <v>829275.58</v>
      </c>
      <c r="BU63" s="24"/>
      <c r="BV63" s="7">
        <v>979506.36</v>
      </c>
      <c r="BW63" s="24"/>
      <c r="BX63" s="7">
        <v>1078049.6499999999</v>
      </c>
      <c r="BY63" s="24"/>
      <c r="BZ63" s="7">
        <v>1098522.02</v>
      </c>
      <c r="CA63" s="24"/>
      <c r="CB63" s="7">
        <v>1153627.48</v>
      </c>
      <c r="CC63" s="24"/>
      <c r="CD63" s="7">
        <v>1360839.24</v>
      </c>
      <c r="CE63" s="24"/>
      <c r="CF63" s="7">
        <v>1240844.78</v>
      </c>
      <c r="CG63" s="24"/>
      <c r="CH63" s="7">
        <v>1469158.3800000001</v>
      </c>
      <c r="CI63" s="24"/>
      <c r="CJ63" s="7">
        <v>1726510.0800000001</v>
      </c>
      <c r="CK63" s="24"/>
      <c r="CL63" s="7">
        <v>1581357.07</v>
      </c>
      <c r="CM63" s="24"/>
      <c r="CN63" s="7">
        <v>1792038.81</v>
      </c>
      <c r="CO63" s="24"/>
      <c r="CP63" s="7">
        <v>1736597.13</v>
      </c>
      <c r="CQ63" s="6"/>
      <c r="CR63" s="7">
        <v>1542137.38</v>
      </c>
      <c r="CS63" s="24"/>
      <c r="CT63" s="7">
        <v>1567170.61</v>
      </c>
      <c r="CU63" s="24"/>
      <c r="CV63" s="7">
        <v>783393.81</v>
      </c>
      <c r="CW63" s="6"/>
      <c r="CX63" s="7">
        <v>986766.22</v>
      </c>
      <c r="CY63" s="6"/>
      <c r="CZ63" s="7">
        <v>1043774.69</v>
      </c>
      <c r="DA63" s="24"/>
      <c r="DB63" s="7">
        <v>1606332.3134144489</v>
      </c>
      <c r="DC63" s="24"/>
    </row>
    <row r="64" spans="2:107">
      <c r="B64" s="23" t="s">
        <v>43</v>
      </c>
      <c r="C64" s="24"/>
      <c r="D64" s="7"/>
      <c r="E64" s="24"/>
      <c r="F64" s="7"/>
      <c r="G64" s="24"/>
      <c r="H64" s="7"/>
      <c r="I64" s="24"/>
      <c r="J64" s="7">
        <v>0</v>
      </c>
      <c r="K64" s="24"/>
      <c r="L64" s="7">
        <v>0</v>
      </c>
      <c r="M64" s="24"/>
      <c r="N64" s="7">
        <v>0</v>
      </c>
      <c r="O64" s="24"/>
      <c r="P64" s="7">
        <v>0</v>
      </c>
      <c r="Q64" s="24"/>
      <c r="R64" s="7">
        <v>0</v>
      </c>
      <c r="S64" s="24"/>
      <c r="T64" s="7">
        <v>0</v>
      </c>
      <c r="U64" s="24"/>
      <c r="V64" s="7">
        <v>0</v>
      </c>
      <c r="W64" s="24"/>
      <c r="X64" s="7">
        <v>0</v>
      </c>
      <c r="Y64" s="24"/>
      <c r="Z64" s="7">
        <v>0</v>
      </c>
      <c r="AA64" s="24"/>
      <c r="AB64" s="7">
        <v>0</v>
      </c>
      <c r="AC64" s="24"/>
      <c r="AD64" s="7">
        <v>0</v>
      </c>
      <c r="AE64" s="24"/>
      <c r="AF64" s="7">
        <v>0</v>
      </c>
      <c r="AG64" s="24"/>
      <c r="AH64" s="7">
        <v>0</v>
      </c>
      <c r="AI64" s="24"/>
      <c r="AJ64" s="7">
        <v>0</v>
      </c>
      <c r="AK64" s="24"/>
      <c r="AL64" s="7">
        <v>0</v>
      </c>
      <c r="AM64" s="24"/>
      <c r="AN64" s="7">
        <v>0</v>
      </c>
      <c r="AO64" s="24"/>
      <c r="AP64" s="7">
        <v>0</v>
      </c>
      <c r="AQ64" s="7"/>
      <c r="AR64" s="7">
        <v>0</v>
      </c>
      <c r="AS64" s="24"/>
      <c r="AT64" s="7">
        <v>0</v>
      </c>
      <c r="AU64" s="24"/>
      <c r="AV64" s="7">
        <v>0</v>
      </c>
      <c r="AW64" s="24"/>
      <c r="AX64" s="7">
        <v>0</v>
      </c>
      <c r="AY64" s="24"/>
      <c r="AZ64" s="7">
        <v>0</v>
      </c>
      <c r="BA64" s="24"/>
      <c r="BB64" s="7">
        <v>0</v>
      </c>
      <c r="BC64" s="24"/>
      <c r="BD64" s="7">
        <v>0</v>
      </c>
      <c r="BE64" s="24"/>
      <c r="BF64" s="7">
        <v>0</v>
      </c>
      <c r="BG64" s="24"/>
      <c r="BH64" s="7">
        <v>0</v>
      </c>
      <c r="BI64" s="24"/>
      <c r="BJ64" s="7">
        <v>0</v>
      </c>
      <c r="BK64" s="24"/>
      <c r="BL64" s="7">
        <v>0</v>
      </c>
      <c r="BM64" s="24"/>
      <c r="BN64" s="7">
        <v>0</v>
      </c>
      <c r="BO64" s="24"/>
      <c r="BP64" s="7">
        <v>0</v>
      </c>
      <c r="BQ64" s="24"/>
      <c r="BR64" s="7">
        <v>0</v>
      </c>
      <c r="BS64" s="24"/>
      <c r="BT64" s="7">
        <v>0</v>
      </c>
      <c r="BU64" s="24"/>
      <c r="BV64" s="7">
        <v>0</v>
      </c>
      <c r="BW64" s="24"/>
      <c r="BX64" s="7">
        <v>0</v>
      </c>
      <c r="BY64" s="24"/>
      <c r="BZ64" s="7">
        <v>0</v>
      </c>
      <c r="CA64" s="24"/>
      <c r="CB64" s="7">
        <v>0</v>
      </c>
      <c r="CC64" s="24"/>
      <c r="CD64" s="7">
        <v>0</v>
      </c>
      <c r="CE64" s="24"/>
      <c r="CF64" s="7">
        <v>0</v>
      </c>
      <c r="CG64" s="24"/>
      <c r="CH64" s="7">
        <v>0</v>
      </c>
      <c r="CI64" s="24"/>
      <c r="CJ64" s="7">
        <v>0</v>
      </c>
      <c r="CK64" s="24"/>
      <c r="CL64" s="7">
        <v>0</v>
      </c>
      <c r="CM64" s="24"/>
      <c r="CN64" s="7">
        <v>0</v>
      </c>
      <c r="CO64" s="24"/>
      <c r="CP64" s="7">
        <v>0</v>
      </c>
      <c r="CQ64" s="8"/>
      <c r="CR64" s="7">
        <v>0</v>
      </c>
      <c r="CS64" s="24"/>
      <c r="CT64" s="7">
        <v>0</v>
      </c>
      <c r="CU64" s="24"/>
      <c r="CV64" s="7">
        <v>0</v>
      </c>
      <c r="CW64" s="8"/>
      <c r="CX64" s="7">
        <v>0</v>
      </c>
      <c r="CY64" s="8"/>
      <c r="CZ64" s="7">
        <v>0</v>
      </c>
      <c r="DA64" s="24"/>
      <c r="DB64" s="7">
        <v>0</v>
      </c>
      <c r="DC64" s="24"/>
    </row>
    <row r="65" spans="2:107">
      <c r="B65" s="8" t="s">
        <v>44</v>
      </c>
      <c r="C65" s="8"/>
      <c r="D65" s="7"/>
      <c r="E65" s="8"/>
      <c r="F65" s="7"/>
      <c r="G65" s="8"/>
      <c r="H65" s="7"/>
      <c r="I65" s="8"/>
      <c r="J65" s="7">
        <v>207560.93</v>
      </c>
      <c r="K65" s="8"/>
      <c r="L65" s="7">
        <v>207560.93</v>
      </c>
      <c r="M65" s="8"/>
      <c r="N65" s="7">
        <v>131353.72</v>
      </c>
      <c r="O65" s="8"/>
      <c r="P65" s="7">
        <v>131353.72</v>
      </c>
      <c r="Q65" s="8"/>
      <c r="R65" s="7">
        <v>131353.72</v>
      </c>
      <c r="S65" s="8"/>
      <c r="T65" s="7">
        <v>131353.72</v>
      </c>
      <c r="U65" s="8"/>
      <c r="V65" s="7">
        <v>84315.51</v>
      </c>
      <c r="W65" s="8"/>
      <c r="X65" s="7">
        <v>84315.51</v>
      </c>
      <c r="Y65" s="8"/>
      <c r="Z65" s="7">
        <v>84315.51</v>
      </c>
      <c r="AA65" s="8"/>
      <c r="AB65" s="7">
        <v>84315.51</v>
      </c>
      <c r="AC65" s="8"/>
      <c r="AD65" s="7">
        <v>124807.56</v>
      </c>
      <c r="AE65" s="8"/>
      <c r="AF65" s="7">
        <v>124807.56</v>
      </c>
      <c r="AG65" s="8"/>
      <c r="AH65" s="7">
        <v>124807.56</v>
      </c>
      <c r="AI65" s="8"/>
      <c r="AJ65" s="7">
        <v>124807.56</v>
      </c>
      <c r="AK65" s="8"/>
      <c r="AL65" s="7">
        <v>151734.12</v>
      </c>
      <c r="AM65" s="8"/>
      <c r="AN65" s="7">
        <v>151734.12</v>
      </c>
      <c r="AO65" s="8"/>
      <c r="AP65" s="7">
        <v>151734.12</v>
      </c>
      <c r="AQ65" s="7"/>
      <c r="AR65" s="7">
        <v>151734.12</v>
      </c>
      <c r="AS65" s="8"/>
      <c r="AT65" s="7">
        <v>135116.37</v>
      </c>
      <c r="AU65" s="8"/>
      <c r="AV65" s="7">
        <v>135116.37</v>
      </c>
      <c r="AW65" s="8"/>
      <c r="AX65" s="7">
        <v>135116.37</v>
      </c>
      <c r="AY65" s="8"/>
      <c r="AZ65" s="7">
        <v>135116.37</v>
      </c>
      <c r="BA65" s="8"/>
      <c r="BB65" s="7">
        <v>119638.1</v>
      </c>
      <c r="BC65" s="8"/>
      <c r="BD65" s="7">
        <v>119638.1</v>
      </c>
      <c r="BE65" s="8"/>
      <c r="BF65" s="7">
        <v>119638.1</v>
      </c>
      <c r="BG65" s="8"/>
      <c r="BH65" s="7">
        <v>119638.1</v>
      </c>
      <c r="BI65" s="8"/>
      <c r="BJ65" s="7">
        <v>75585.47</v>
      </c>
      <c r="BK65" s="8"/>
      <c r="BL65" s="7">
        <v>75585.47</v>
      </c>
      <c r="BM65" s="8"/>
      <c r="BN65" s="7">
        <v>75585.47</v>
      </c>
      <c r="BO65" s="8"/>
      <c r="BP65" s="7">
        <v>75585.47</v>
      </c>
      <c r="BQ65" s="8"/>
      <c r="BR65" s="7">
        <v>75585.47</v>
      </c>
      <c r="BS65" s="8"/>
      <c r="BT65" s="7">
        <v>75585.47</v>
      </c>
      <c r="BU65" s="8"/>
      <c r="BV65" s="7">
        <v>75585.47</v>
      </c>
      <c r="BW65" s="8"/>
      <c r="BX65" s="7">
        <v>55807.519999999997</v>
      </c>
      <c r="BY65" s="8"/>
      <c r="BZ65" s="7">
        <v>55807.519999999997</v>
      </c>
      <c r="CA65" s="8"/>
      <c r="CB65" s="7">
        <v>55807.519999999997</v>
      </c>
      <c r="CC65" s="8"/>
      <c r="CD65" s="7">
        <v>55807.519999999997</v>
      </c>
      <c r="CE65" s="8"/>
      <c r="CF65" s="7">
        <v>50767.43</v>
      </c>
      <c r="CG65" s="8"/>
      <c r="CH65" s="7">
        <v>50767.43</v>
      </c>
      <c r="CI65" s="8"/>
      <c r="CJ65" s="7">
        <v>50767.43</v>
      </c>
      <c r="CK65" s="8"/>
      <c r="CL65" s="7">
        <v>50767.43</v>
      </c>
      <c r="CM65" s="8"/>
      <c r="CN65" s="7">
        <v>32271.69</v>
      </c>
      <c r="CO65" s="8"/>
      <c r="CP65" s="7">
        <v>32271.69</v>
      </c>
      <c r="CQ65" s="8"/>
      <c r="CR65" s="7">
        <v>32271.69</v>
      </c>
      <c r="CS65" s="8"/>
      <c r="CT65" s="7">
        <v>32271.69</v>
      </c>
      <c r="CU65" s="8"/>
      <c r="CV65" s="7">
        <v>26272.58</v>
      </c>
      <c r="CW65" s="8"/>
      <c r="CX65" s="7">
        <v>26272.58</v>
      </c>
      <c r="CY65" s="8"/>
      <c r="CZ65" s="7">
        <v>26272.58</v>
      </c>
      <c r="DA65" s="8"/>
      <c r="DB65" s="7">
        <v>21903.99</v>
      </c>
      <c r="DC65" s="8"/>
    </row>
    <row r="66" spans="2:107">
      <c r="B66" s="8" t="s">
        <v>45</v>
      </c>
      <c r="C66" s="8"/>
      <c r="D66" s="7"/>
      <c r="E66" s="8"/>
      <c r="F66" s="7"/>
      <c r="G66" s="8"/>
      <c r="H66" s="7"/>
      <c r="I66" s="8"/>
      <c r="J66" s="7">
        <v>5704405.167957034</v>
      </c>
      <c r="K66" s="8"/>
      <c r="L66" s="7">
        <v>6195072.9167942945</v>
      </c>
      <c r="M66" s="8"/>
      <c r="N66" s="7">
        <v>5782041.5971619049</v>
      </c>
      <c r="O66" s="8"/>
      <c r="P66" s="7">
        <v>5842202.4537457172</v>
      </c>
      <c r="Q66" s="8"/>
      <c r="R66" s="7">
        <v>6000378.9520721659</v>
      </c>
      <c r="S66" s="8"/>
      <c r="T66" s="7">
        <v>6724594.0416047312</v>
      </c>
      <c r="U66" s="8"/>
      <c r="V66" s="7">
        <v>12148006.077499999</v>
      </c>
      <c r="W66" s="8"/>
      <c r="X66" s="7">
        <v>10250968.887552001</v>
      </c>
      <c r="Y66" s="8"/>
      <c r="Z66" s="7">
        <v>7551042.4094599998</v>
      </c>
      <c r="AA66" s="8"/>
      <c r="AB66" s="7">
        <v>7599202.7455600007</v>
      </c>
      <c r="AC66" s="8"/>
      <c r="AD66" s="7">
        <v>6159613.1055760002</v>
      </c>
      <c r="AE66" s="8"/>
      <c r="AF66" s="7">
        <v>6400786.5750490827</v>
      </c>
      <c r="AG66" s="8"/>
      <c r="AH66" s="7">
        <v>1161092.42</v>
      </c>
      <c r="AI66" s="8"/>
      <c r="AJ66" s="7">
        <v>1038752.4199999999</v>
      </c>
      <c r="AK66" s="8"/>
      <c r="AL66" s="7">
        <v>1160583.4099999999</v>
      </c>
      <c r="AM66" s="8"/>
      <c r="AN66" s="7">
        <v>1609243.41</v>
      </c>
      <c r="AO66" s="8"/>
      <c r="AP66" s="7">
        <v>1607539.41</v>
      </c>
      <c r="AQ66" s="7"/>
      <c r="AR66" s="7">
        <v>1593052.41</v>
      </c>
      <c r="AS66" s="8"/>
      <c r="AT66" s="7">
        <v>1030006.69</v>
      </c>
      <c r="AU66" s="8"/>
      <c r="AV66" s="7">
        <v>1385103.69</v>
      </c>
      <c r="AW66" s="8"/>
      <c r="AX66" s="7">
        <v>1773869.69</v>
      </c>
      <c r="AY66" s="8"/>
      <c r="AZ66" s="7">
        <v>1574533.69</v>
      </c>
      <c r="BA66" s="8"/>
      <c r="BB66" s="7">
        <v>0</v>
      </c>
      <c r="BC66" s="8"/>
      <c r="BD66" s="7">
        <v>0</v>
      </c>
      <c r="BE66" s="8"/>
      <c r="BF66" s="7">
        <v>0</v>
      </c>
      <c r="BG66" s="8"/>
      <c r="BH66" s="7">
        <v>0</v>
      </c>
      <c r="BI66" s="8"/>
      <c r="BJ66" s="7">
        <v>0</v>
      </c>
      <c r="BK66" s="8"/>
      <c r="BL66" s="7">
        <v>0</v>
      </c>
      <c r="BM66" s="8"/>
      <c r="BN66" s="7">
        <v>0</v>
      </c>
      <c r="BO66" s="8"/>
      <c r="BP66" s="7">
        <v>0</v>
      </c>
      <c r="BQ66" s="8"/>
      <c r="BR66" s="7">
        <v>0</v>
      </c>
      <c r="BS66" s="8"/>
      <c r="BT66" s="7">
        <v>0</v>
      </c>
      <c r="BU66" s="8"/>
      <c r="BV66" s="7">
        <v>0</v>
      </c>
      <c r="BW66" s="8"/>
      <c r="BX66" s="7">
        <v>0</v>
      </c>
      <c r="BY66" s="8"/>
      <c r="BZ66" s="7">
        <v>0</v>
      </c>
      <c r="CA66" s="8"/>
      <c r="CB66" s="7">
        <v>0</v>
      </c>
      <c r="CC66" s="8"/>
      <c r="CD66" s="7">
        <v>0</v>
      </c>
      <c r="CE66" s="8"/>
      <c r="CF66" s="7">
        <v>0</v>
      </c>
      <c r="CG66" s="8"/>
      <c r="CH66" s="7">
        <v>105268.34</v>
      </c>
      <c r="CI66" s="8"/>
      <c r="CJ66" s="7">
        <v>0</v>
      </c>
      <c r="CK66" s="8"/>
      <c r="CL66" s="7">
        <v>0</v>
      </c>
      <c r="CM66" s="8"/>
      <c r="CN66" s="7">
        <v>0</v>
      </c>
      <c r="CO66" s="8"/>
      <c r="CP66" s="7">
        <v>0</v>
      </c>
      <c r="CQ66" s="8"/>
      <c r="CR66" s="7">
        <v>0</v>
      </c>
      <c r="CS66" s="8"/>
      <c r="CT66" s="7">
        <v>0</v>
      </c>
      <c r="CU66" s="8"/>
      <c r="CV66" s="7">
        <v>0</v>
      </c>
      <c r="CW66" s="8"/>
      <c r="CX66" s="7">
        <v>0</v>
      </c>
      <c r="CY66" s="8"/>
      <c r="CZ66" s="7">
        <v>0</v>
      </c>
      <c r="DA66" s="8"/>
      <c r="DB66" s="7">
        <v>39.72</v>
      </c>
      <c r="DC66" s="8"/>
    </row>
    <row r="67" spans="2:107">
      <c r="B67" s="8" t="s">
        <v>46</v>
      </c>
      <c r="C67" s="8"/>
      <c r="D67" s="7"/>
      <c r="E67" s="8"/>
      <c r="F67" s="7"/>
      <c r="G67" s="8"/>
      <c r="H67" s="7"/>
      <c r="I67" s="8"/>
      <c r="J67" s="7">
        <v>0</v>
      </c>
      <c r="K67" s="8"/>
      <c r="L67" s="7">
        <v>0</v>
      </c>
      <c r="M67" s="8"/>
      <c r="N67" s="7">
        <v>0</v>
      </c>
      <c r="O67" s="8"/>
      <c r="P67" s="7">
        <v>0</v>
      </c>
      <c r="Q67" s="8"/>
      <c r="R67" s="7">
        <v>0</v>
      </c>
      <c r="S67" s="8"/>
      <c r="T67" s="7">
        <v>0</v>
      </c>
      <c r="U67" s="8"/>
      <c r="V67" s="7">
        <v>0</v>
      </c>
      <c r="W67" s="8"/>
      <c r="X67" s="7">
        <v>0</v>
      </c>
      <c r="Y67" s="8"/>
      <c r="Z67" s="7">
        <v>0</v>
      </c>
      <c r="AA67" s="8"/>
      <c r="AB67" s="7">
        <v>0</v>
      </c>
      <c r="AC67" s="8"/>
      <c r="AD67" s="7">
        <v>284600.8413999998</v>
      </c>
      <c r="AE67" s="8"/>
      <c r="AF67" s="7">
        <v>202855.2613999999</v>
      </c>
      <c r="AG67" s="8"/>
      <c r="AH67" s="7">
        <v>0</v>
      </c>
      <c r="AI67" s="8"/>
      <c r="AJ67" s="7">
        <v>0</v>
      </c>
      <c r="AK67" s="8"/>
      <c r="AL67" s="7">
        <v>0</v>
      </c>
      <c r="AM67" s="8"/>
      <c r="AN67" s="7">
        <v>0</v>
      </c>
      <c r="AO67" s="8"/>
      <c r="AP67" s="7">
        <v>0</v>
      </c>
      <c r="AQ67" s="7"/>
      <c r="AR67" s="7">
        <v>0</v>
      </c>
      <c r="AS67" s="8"/>
      <c r="AT67" s="7">
        <v>53301.649999999965</v>
      </c>
      <c r="AU67" s="8"/>
      <c r="AV67" s="7">
        <v>41350.659999999974</v>
      </c>
      <c r="AW67" s="8"/>
      <c r="AX67" s="7">
        <v>0</v>
      </c>
      <c r="AY67" s="8"/>
      <c r="AZ67" s="7">
        <v>0</v>
      </c>
      <c r="BA67" s="8"/>
      <c r="BB67" s="7">
        <v>0</v>
      </c>
      <c r="BC67" s="8"/>
      <c r="BD67" s="7">
        <v>0</v>
      </c>
      <c r="BE67" s="8"/>
      <c r="BF67" s="7">
        <v>0</v>
      </c>
      <c r="BG67" s="8"/>
      <c r="BH67" s="7">
        <v>0</v>
      </c>
      <c r="BI67" s="8"/>
      <c r="BJ67" s="7">
        <v>0</v>
      </c>
      <c r="BK67" s="8"/>
      <c r="BL67" s="7">
        <v>0</v>
      </c>
      <c r="BM67" s="8"/>
      <c r="BN67" s="7">
        <v>0</v>
      </c>
      <c r="BO67" s="8"/>
      <c r="BP67" s="7">
        <v>0</v>
      </c>
      <c r="BQ67" s="8"/>
      <c r="BR67" s="7">
        <v>0</v>
      </c>
      <c r="BS67" s="8"/>
      <c r="BT67" s="7">
        <v>0</v>
      </c>
      <c r="BU67" s="8"/>
      <c r="BV67" s="7">
        <v>0</v>
      </c>
      <c r="BW67" s="8"/>
      <c r="BX67" s="7">
        <v>0</v>
      </c>
      <c r="BY67" s="8"/>
      <c r="BZ67" s="7">
        <v>0</v>
      </c>
      <c r="CA67" s="8"/>
      <c r="CB67" s="7">
        <v>0</v>
      </c>
      <c r="CC67" s="8"/>
      <c r="CD67" s="7">
        <v>0</v>
      </c>
      <c r="CE67" s="8"/>
      <c r="CF67" s="7">
        <v>0</v>
      </c>
      <c r="CG67" s="8"/>
      <c r="CH67" s="7">
        <v>0</v>
      </c>
      <c r="CI67" s="8"/>
      <c r="CJ67" s="7">
        <v>0</v>
      </c>
      <c r="CK67" s="8"/>
      <c r="CL67" s="7">
        <v>0</v>
      </c>
      <c r="CM67" s="8"/>
      <c r="CN67" s="7">
        <v>0</v>
      </c>
      <c r="CO67" s="8"/>
      <c r="CP67" s="7">
        <v>0</v>
      </c>
      <c r="CQ67" s="8"/>
      <c r="CR67" s="7">
        <v>0</v>
      </c>
      <c r="CS67" s="8"/>
      <c r="CT67" s="7">
        <v>0</v>
      </c>
      <c r="CU67" s="8"/>
      <c r="CV67" s="7">
        <v>0</v>
      </c>
      <c r="CW67" s="8"/>
      <c r="CX67" s="7">
        <v>0</v>
      </c>
      <c r="CY67" s="8"/>
      <c r="CZ67" s="7">
        <v>0</v>
      </c>
      <c r="DA67" s="8"/>
      <c r="DB67" s="7">
        <v>0</v>
      </c>
      <c r="DC67" s="8"/>
    </row>
    <row r="68" spans="2:107">
      <c r="B68" s="9" t="s">
        <v>47</v>
      </c>
      <c r="C68" s="9"/>
      <c r="D68" s="7"/>
      <c r="E68" s="9"/>
      <c r="F68" s="7"/>
      <c r="G68" s="9"/>
      <c r="H68" s="7"/>
      <c r="I68" s="9"/>
      <c r="J68" s="7">
        <v>24990692.539999999</v>
      </c>
      <c r="K68" s="9"/>
      <c r="L68" s="7">
        <v>19362454.465078332</v>
      </c>
      <c r="M68" s="9"/>
      <c r="N68" s="7">
        <v>18838351.315078337</v>
      </c>
      <c r="O68" s="9"/>
      <c r="P68" s="7">
        <v>18318519.585078333</v>
      </c>
      <c r="Q68" s="9"/>
      <c r="R68" s="7">
        <v>17746963.59507833</v>
      </c>
      <c r="S68" s="9"/>
      <c r="T68" s="7">
        <v>15196591.346578335</v>
      </c>
      <c r="U68" s="9"/>
      <c r="V68" s="7">
        <v>14115011.256078335</v>
      </c>
      <c r="W68" s="9"/>
      <c r="X68" s="7">
        <v>12743429.865578331</v>
      </c>
      <c r="Y68" s="9"/>
      <c r="Z68" s="7">
        <v>12995979.225078333</v>
      </c>
      <c r="AA68" s="9"/>
      <c r="AB68" s="7">
        <v>11060474.849333331</v>
      </c>
      <c r="AC68" s="9"/>
      <c r="AD68" s="7">
        <v>10836756.688833334</v>
      </c>
      <c r="AE68" s="9"/>
      <c r="AF68" s="7">
        <v>11067861.488333333</v>
      </c>
      <c r="AG68" s="9"/>
      <c r="AH68" s="7">
        <v>11256168.93783333</v>
      </c>
      <c r="AI68" s="9"/>
      <c r="AJ68" s="7">
        <v>10938843.367333334</v>
      </c>
      <c r="AK68" s="9"/>
      <c r="AL68" s="7">
        <v>11437005.466833331</v>
      </c>
      <c r="AM68" s="9"/>
      <c r="AN68" s="7">
        <v>11893968.296333332</v>
      </c>
      <c r="AO68" s="9"/>
      <c r="AP68" s="7">
        <v>11959902.215833331</v>
      </c>
      <c r="AQ68" s="7"/>
      <c r="AR68" s="7">
        <v>12254538.895333331</v>
      </c>
      <c r="AS68" s="9"/>
      <c r="AT68" s="7">
        <v>10358979.444833333</v>
      </c>
      <c r="AU68" s="9"/>
      <c r="AV68" s="7">
        <v>10319036.964333333</v>
      </c>
      <c r="AW68" s="9"/>
      <c r="AX68" s="7">
        <v>10336161.093833331</v>
      </c>
      <c r="AY68" s="9"/>
      <c r="AZ68" s="7">
        <v>9750977.1533333324</v>
      </c>
      <c r="BA68" s="9"/>
      <c r="BB68" s="7">
        <v>8832694.6128333323</v>
      </c>
      <c r="BC68" s="9"/>
      <c r="BD68" s="7">
        <v>9249697.8023333326</v>
      </c>
      <c r="BE68" s="9"/>
      <c r="BF68" s="7">
        <v>10427041.731833335</v>
      </c>
      <c r="BG68" s="9"/>
      <c r="BH68" s="7">
        <v>5358193.2213333342</v>
      </c>
      <c r="BI68" s="9"/>
      <c r="BJ68" s="7">
        <v>14730906.900833333</v>
      </c>
      <c r="BK68" s="9"/>
      <c r="BL68" s="7">
        <v>14480295.050333332</v>
      </c>
      <c r="BM68" s="9"/>
      <c r="BN68" s="7">
        <v>13951691.640000001</v>
      </c>
      <c r="BO68" s="9"/>
      <c r="BP68" s="7">
        <v>14109958.369999999</v>
      </c>
      <c r="BQ68" s="9"/>
      <c r="BR68" s="7">
        <v>7858795.4000000004</v>
      </c>
      <c r="BS68" s="9"/>
      <c r="BT68" s="7">
        <v>8970292.0399999991</v>
      </c>
      <c r="BU68" s="9"/>
      <c r="BV68" s="7">
        <v>9063034.0600000005</v>
      </c>
      <c r="BW68" s="9"/>
      <c r="BX68" s="7">
        <v>9155776.0800000001</v>
      </c>
      <c r="BY68" s="9"/>
      <c r="BZ68" s="7">
        <v>9129594.0500000007</v>
      </c>
      <c r="CA68" s="9"/>
      <c r="CB68" s="7">
        <v>9222668.3800000008</v>
      </c>
      <c r="CC68" s="9"/>
      <c r="CD68" s="7">
        <v>6019447.5800000001</v>
      </c>
      <c r="CE68" s="9"/>
      <c r="CF68" s="7">
        <v>6029293.21</v>
      </c>
      <c r="CG68" s="9"/>
      <c r="CH68" s="7">
        <v>5936000.5899999999</v>
      </c>
      <c r="CI68" s="9"/>
      <c r="CJ68" s="7">
        <v>5952310.25</v>
      </c>
      <c r="CK68" s="9"/>
      <c r="CL68" s="7">
        <v>5952310.25</v>
      </c>
      <c r="CM68" s="9"/>
      <c r="CN68" s="7">
        <v>6173719.2000000002</v>
      </c>
      <c r="CO68" s="9"/>
      <c r="CP68" s="7">
        <v>6406721.0599999996</v>
      </c>
      <c r="CQ68" s="8"/>
      <c r="CR68" s="7">
        <v>6847692.8300000001</v>
      </c>
      <c r="CS68" s="9"/>
      <c r="CT68" s="7">
        <v>5078248.46</v>
      </c>
      <c r="CU68" s="9"/>
      <c r="CV68" s="7">
        <v>87293.29</v>
      </c>
      <c r="CW68" s="8"/>
      <c r="CX68" s="7">
        <v>100998.09</v>
      </c>
      <c r="CY68" s="8"/>
      <c r="CZ68" s="7">
        <v>42678.13</v>
      </c>
      <c r="DA68" s="9"/>
      <c r="DB68" s="7">
        <v>0</v>
      </c>
      <c r="DC68" s="9"/>
    </row>
    <row r="69" spans="2:107">
      <c r="B69" s="9"/>
      <c r="C69" s="9"/>
      <c r="D69" s="22"/>
      <c r="E69" s="9"/>
      <c r="F69" s="22"/>
      <c r="G69" s="9"/>
      <c r="H69" s="22"/>
      <c r="I69" s="9"/>
      <c r="J69" s="22"/>
      <c r="K69" s="9"/>
      <c r="L69" s="22"/>
      <c r="M69" s="9"/>
      <c r="N69" s="22"/>
      <c r="O69" s="9"/>
      <c r="P69" s="22"/>
      <c r="Q69" s="9"/>
      <c r="R69" s="22"/>
      <c r="S69" s="9"/>
      <c r="T69" s="22"/>
      <c r="U69" s="9"/>
      <c r="V69" s="22"/>
      <c r="W69" s="9"/>
      <c r="X69" s="22"/>
      <c r="Y69" s="9"/>
      <c r="Z69" s="22"/>
      <c r="AA69" s="9"/>
      <c r="AB69" s="22"/>
      <c r="AC69" s="9"/>
      <c r="AD69" s="22"/>
      <c r="AE69" s="9"/>
      <c r="AF69" s="22"/>
      <c r="AG69" s="9"/>
      <c r="AH69" s="22"/>
      <c r="AI69" s="9"/>
      <c r="AJ69" s="22"/>
      <c r="AK69" s="9"/>
      <c r="AL69" s="22"/>
      <c r="AM69" s="9"/>
      <c r="AN69" s="22"/>
      <c r="AO69" s="9"/>
      <c r="AP69" s="22"/>
      <c r="AQ69" s="22"/>
      <c r="AR69" s="22"/>
      <c r="AS69" s="9"/>
      <c r="AT69" s="22"/>
      <c r="AU69" s="9"/>
      <c r="AV69" s="22"/>
      <c r="AW69" s="9"/>
      <c r="AX69" s="22"/>
      <c r="AY69" s="9"/>
      <c r="AZ69" s="22"/>
      <c r="BA69" s="9"/>
      <c r="BB69" s="22"/>
      <c r="BC69" s="9"/>
      <c r="BD69" s="22"/>
      <c r="BE69" s="9"/>
      <c r="BF69" s="22"/>
      <c r="BG69" s="9"/>
      <c r="BH69" s="22"/>
      <c r="BI69" s="9"/>
      <c r="BJ69" s="22"/>
      <c r="BK69" s="9"/>
      <c r="BL69" s="22"/>
      <c r="BM69" s="9"/>
      <c r="BN69" s="22"/>
      <c r="BO69" s="9"/>
      <c r="BP69" s="22"/>
      <c r="BQ69" s="9"/>
      <c r="BR69" s="22"/>
      <c r="BS69" s="9"/>
      <c r="BT69" s="22"/>
      <c r="BU69" s="9"/>
      <c r="BV69" s="22"/>
      <c r="BW69" s="9"/>
      <c r="BX69" s="22"/>
      <c r="BY69" s="9"/>
      <c r="BZ69" s="22"/>
      <c r="CA69" s="9"/>
      <c r="CB69" s="22"/>
      <c r="CC69" s="9"/>
      <c r="CD69" s="22"/>
      <c r="CE69" s="9"/>
      <c r="CF69" s="22"/>
      <c r="CG69" s="9"/>
      <c r="CH69" s="22"/>
      <c r="CI69" s="9"/>
      <c r="CJ69" s="22"/>
      <c r="CK69" s="9"/>
      <c r="CL69" s="22"/>
      <c r="CM69" s="9"/>
      <c r="CN69" s="22"/>
      <c r="CO69" s="9"/>
      <c r="CP69" s="22"/>
      <c r="CQ69" s="8"/>
      <c r="CR69" s="22"/>
      <c r="CS69" s="9"/>
      <c r="CT69" s="22"/>
      <c r="CU69" s="9"/>
      <c r="CV69" s="22"/>
      <c r="CW69" s="8"/>
      <c r="CX69" s="22"/>
      <c r="CY69" s="8"/>
      <c r="CZ69" s="22"/>
      <c r="DA69" s="9"/>
      <c r="DB69" s="22"/>
      <c r="DC69" s="9"/>
    </row>
    <row r="70" spans="2:107">
      <c r="B70" s="6" t="s">
        <v>48</v>
      </c>
      <c r="C70" s="6"/>
      <c r="D70" s="21"/>
      <c r="E70" s="6"/>
      <c r="F70" s="21"/>
      <c r="G70" s="6"/>
      <c r="H70" s="21"/>
      <c r="I70" s="6"/>
      <c r="J70" s="21">
        <f>SUM(J59:J68)</f>
        <v>52600866.791229755</v>
      </c>
      <c r="K70" s="6"/>
      <c r="L70" s="21">
        <f>SUM(L59:L68)</f>
        <v>50583003.876760595</v>
      </c>
      <c r="M70" s="6"/>
      <c r="N70" s="21">
        <f>SUM(N59:N68)</f>
        <v>42145100.440464571</v>
      </c>
      <c r="O70" s="6"/>
      <c r="P70" s="21">
        <f>SUM(P59:P68)</f>
        <v>42110636.733282328</v>
      </c>
      <c r="Q70" s="6"/>
      <c r="R70" s="21">
        <f>SUM(R59:R68)</f>
        <v>38901569.96019192</v>
      </c>
      <c r="S70" s="6"/>
      <c r="T70" s="21">
        <f>SUM(T59:T68)</f>
        <v>47481019.786303192</v>
      </c>
      <c r="U70" s="6"/>
      <c r="V70" s="21">
        <f>SUM(V59:V68)</f>
        <v>50230461.594029218</v>
      </c>
      <c r="W70" s="6"/>
      <c r="X70" s="21">
        <f>SUM(X59:X68)</f>
        <v>42392353.2139882</v>
      </c>
      <c r="Y70" s="6"/>
      <c r="Z70" s="21">
        <f>SUM(Z59:Z68)</f>
        <v>40506332.752109319</v>
      </c>
      <c r="AA70" s="6"/>
      <c r="AB70" s="21">
        <f>SUM(AB59:AB68)</f>
        <v>43726519.757295862</v>
      </c>
      <c r="AC70" s="6"/>
      <c r="AD70" s="21">
        <f>SUM(AD59:AD68)</f>
        <v>46130696.651249416</v>
      </c>
      <c r="AE70" s="6"/>
      <c r="AF70" s="21">
        <f>SUM(AF59:AF68)</f>
        <v>44445973.867951512</v>
      </c>
      <c r="AG70" s="6"/>
      <c r="AH70" s="21">
        <f>SUM(AH59:AH68)</f>
        <v>27136266.717606246</v>
      </c>
      <c r="AI70" s="6"/>
      <c r="AJ70" s="21">
        <f>SUM(AJ59:AJ68)</f>
        <v>24092528.947333336</v>
      </c>
      <c r="AK70" s="6"/>
      <c r="AL70" s="21">
        <f>SUM(AL59:AL68)</f>
        <v>24382767.030311503</v>
      </c>
      <c r="AM70" s="6"/>
      <c r="AN70" s="21">
        <f>SUM(AN59:AN68)</f>
        <v>26631660.014287155</v>
      </c>
      <c r="AO70" s="6"/>
      <c r="AP70" s="21">
        <f>SUM(AP59:AP68)</f>
        <v>28389428.069716848</v>
      </c>
      <c r="AQ70" s="21"/>
      <c r="AR70" s="21">
        <f>SUM(AR59:AR68)</f>
        <v>29143239.717866726</v>
      </c>
      <c r="AS70" s="6"/>
      <c r="AT70" s="21">
        <f>SUM(AT59:AT68)</f>
        <v>23254005.28303067</v>
      </c>
      <c r="AU70" s="6"/>
      <c r="AV70" s="21">
        <f>SUM(AV59:AV61,AV65:AV68)</f>
        <v>23161510.02039168</v>
      </c>
      <c r="AW70" s="6"/>
      <c r="AX70" s="21">
        <f>SUM(AX59:AX61,AX65:AX68)</f>
        <v>23901264.190614812</v>
      </c>
      <c r="AY70" s="6"/>
      <c r="AZ70" s="21">
        <f>SUM(AZ59:AZ61,AZ65:AZ68)</f>
        <v>20758521.063333333</v>
      </c>
      <c r="BA70" s="6"/>
      <c r="BB70" s="21">
        <f>SUM(BB59:BB61,BB65:BB68)</f>
        <v>19068186.522833332</v>
      </c>
      <c r="BC70" s="6"/>
      <c r="BD70" s="21">
        <f>SUM(BD59:BD61,BD65:BD68)</f>
        <v>17465703.112333331</v>
      </c>
      <c r="BE70" s="6"/>
      <c r="BF70" s="21">
        <f>SUM(BF59:BF61,BF65:BF68)</f>
        <v>20272555.371833336</v>
      </c>
      <c r="BG70" s="6"/>
      <c r="BH70" s="21">
        <f>SUM(BH59:BH61,BH65:BH68)</f>
        <v>16431229.131333334</v>
      </c>
      <c r="BI70" s="6"/>
      <c r="BJ70" s="21">
        <f>SUM(BJ59:BJ61,BJ65:BJ68)</f>
        <v>30279578.000833333</v>
      </c>
      <c r="BK70" s="6"/>
      <c r="BL70" s="21">
        <f>SUM(BL59:BL61,BL65:BL68)</f>
        <v>30456113.390333332</v>
      </c>
      <c r="BM70" s="6"/>
      <c r="BN70" s="21">
        <f>SUM(BN59:BN61,BN65:BN68)</f>
        <v>15570737.280000001</v>
      </c>
      <c r="BO70" s="6"/>
      <c r="BP70" s="21">
        <f>SUM(BP59:BP61,BP65:BP68)</f>
        <v>16481670.310000001</v>
      </c>
      <c r="BQ70" s="6"/>
      <c r="BR70" s="21">
        <f>SUM(BR59:BR61,BR65:BR68)</f>
        <v>10844202.860000001</v>
      </c>
      <c r="BS70" s="6"/>
      <c r="BT70" s="21">
        <f>SUM(BT59:BT61,BT65:BT68)</f>
        <v>12022412.149999999</v>
      </c>
      <c r="BU70" s="6"/>
      <c r="BV70" s="21">
        <f>SUM(BV59:BV61,BV65:BV68)</f>
        <v>12699663.470000001</v>
      </c>
      <c r="BW70" s="6"/>
      <c r="BX70" s="21">
        <f>SUM(BX59:BX61,BX65:BX68)</f>
        <v>13310464.41</v>
      </c>
      <c r="BY70" s="6"/>
      <c r="BZ70" s="21">
        <f>SUM(BZ59:BZ61,BZ65:BZ68)</f>
        <v>13758207</v>
      </c>
      <c r="CA70" s="6"/>
      <c r="CB70" s="21">
        <f>SUM(CB59:CB61,CB65:CB68)</f>
        <v>14355856.460000001</v>
      </c>
      <c r="CC70" s="6"/>
      <c r="CD70" s="21">
        <f>SUM(CD59:CD61,CD65:CD68)</f>
        <v>11713291.879999999</v>
      </c>
      <c r="CE70" s="6"/>
      <c r="CF70" s="21">
        <f>SUM(CF59:CF61,CF65:CF68)</f>
        <v>11947659.24</v>
      </c>
      <c r="CG70" s="6"/>
      <c r="CH70" s="21">
        <f>SUM(CH59:CH61,CH65:CH68)</f>
        <v>12095178.239999998</v>
      </c>
      <c r="CI70" s="6"/>
      <c r="CJ70" s="21">
        <f>SUM(CJ59:CJ61,CJ65:CJ68)</f>
        <v>13270076.23</v>
      </c>
      <c r="CK70" s="6"/>
      <c r="CL70" s="21">
        <f>SUM(CL59:CL61,CL65:CL68)</f>
        <v>14119703.9</v>
      </c>
      <c r="CM70" s="6"/>
      <c r="CN70" s="21">
        <f>SUM(CN59:CN61,CN65:CN68)</f>
        <v>15511504.755210355</v>
      </c>
      <c r="CO70" s="6"/>
      <c r="CP70" s="21">
        <f>SUM(CP59:CP61,CP65:CP68)</f>
        <v>16654405.997961342</v>
      </c>
      <c r="CQ70" s="8"/>
      <c r="CR70" s="21">
        <f>SUM(CR59:CR61,CR65:CR68)</f>
        <v>17853569.575963281</v>
      </c>
      <c r="CS70" s="6"/>
      <c r="CT70" s="21">
        <f>SUM(CT59:CT61,CT65:CT68)</f>
        <v>14027551.677026164</v>
      </c>
      <c r="CU70" s="6"/>
      <c r="CV70" s="21">
        <f>SUM(CV59:CV61,CV65:CV68)</f>
        <v>6087492.6722541982</v>
      </c>
      <c r="CW70" s="8"/>
      <c r="CX70" s="21">
        <f>SUM(CX59:CX61,CX65:CX68)</f>
        <v>6920552.9312112732</v>
      </c>
      <c r="CY70" s="8"/>
      <c r="CZ70" s="21">
        <f>SUM(CZ59:CZ61,CZ65:CZ68)</f>
        <v>8037392.3613058822</v>
      </c>
      <c r="DA70" s="6"/>
      <c r="DB70" s="21">
        <f>SUM(DB59:DB61,DB65:DB68)</f>
        <v>10736994.393414451</v>
      </c>
      <c r="DC70" s="6"/>
    </row>
    <row r="71" spans="2:107">
      <c r="B71" s="8"/>
      <c r="C71" s="8"/>
      <c r="D71" s="18"/>
      <c r="E71" s="8"/>
      <c r="F71" s="18"/>
      <c r="G71" s="8"/>
      <c r="H71" s="18"/>
      <c r="I71" s="8"/>
      <c r="J71" s="18"/>
      <c r="K71" s="8"/>
      <c r="L71" s="18"/>
      <c r="M71" s="8"/>
      <c r="N71" s="18"/>
      <c r="O71" s="8"/>
      <c r="P71" s="18"/>
      <c r="Q71" s="8"/>
      <c r="R71" s="18"/>
      <c r="S71" s="8"/>
      <c r="T71" s="18"/>
      <c r="U71" s="8"/>
      <c r="V71" s="18"/>
      <c r="W71" s="8"/>
      <c r="X71" s="18"/>
      <c r="Y71" s="8"/>
      <c r="Z71" s="18"/>
      <c r="AA71" s="8"/>
      <c r="AB71" s="18"/>
      <c r="AC71" s="8"/>
      <c r="AD71" s="18"/>
      <c r="AE71" s="8"/>
      <c r="AF71" s="18"/>
      <c r="AG71" s="8"/>
      <c r="AH71" s="18"/>
      <c r="AI71" s="8"/>
      <c r="AJ71" s="18"/>
      <c r="AK71" s="8"/>
      <c r="AL71" s="18"/>
      <c r="AM71" s="8"/>
      <c r="AN71" s="18"/>
      <c r="AO71" s="8"/>
      <c r="AP71" s="18"/>
      <c r="AQ71" s="18"/>
      <c r="AR71" s="18"/>
      <c r="AS71" s="8"/>
      <c r="AT71" s="18"/>
      <c r="AU71" s="8"/>
      <c r="AV71" s="18"/>
      <c r="AW71" s="8"/>
      <c r="AX71" s="18"/>
      <c r="AY71" s="8"/>
      <c r="AZ71" s="18"/>
      <c r="BA71" s="8"/>
      <c r="BB71" s="18"/>
      <c r="BC71" s="8"/>
      <c r="BD71" s="18"/>
      <c r="BE71" s="8"/>
      <c r="BF71" s="18"/>
      <c r="BG71" s="8"/>
      <c r="BH71" s="18"/>
      <c r="BI71" s="8"/>
      <c r="BJ71" s="18"/>
      <c r="BK71" s="8"/>
      <c r="BL71" s="18"/>
      <c r="BM71" s="8"/>
      <c r="BN71" s="18"/>
      <c r="BO71" s="8"/>
      <c r="BP71" s="18"/>
      <c r="BQ71" s="8"/>
      <c r="BR71" s="18"/>
      <c r="BS71" s="8"/>
      <c r="BT71" s="18"/>
      <c r="BU71" s="8"/>
      <c r="BV71" s="18"/>
      <c r="BW71" s="8"/>
      <c r="BX71" s="18"/>
      <c r="BY71" s="8"/>
      <c r="BZ71" s="18"/>
      <c r="CA71" s="8"/>
      <c r="CB71" s="18"/>
      <c r="CC71" s="8"/>
      <c r="CD71" s="18"/>
      <c r="CE71" s="8"/>
      <c r="CF71" s="18"/>
      <c r="CG71" s="8"/>
      <c r="CH71" s="18"/>
      <c r="CI71" s="8"/>
      <c r="CJ71" s="18"/>
      <c r="CK71" s="8"/>
      <c r="CL71" s="18"/>
      <c r="CM71" s="8"/>
      <c r="CN71" s="18"/>
      <c r="CO71" s="8"/>
      <c r="CP71" s="18"/>
      <c r="CQ71" s="9"/>
      <c r="CR71" s="18"/>
      <c r="CS71" s="8"/>
      <c r="CT71" s="18"/>
      <c r="CU71" s="8"/>
      <c r="CV71" s="18"/>
      <c r="CW71" s="9"/>
      <c r="CX71" s="18"/>
      <c r="CY71" s="9"/>
      <c r="CZ71" s="18"/>
      <c r="DA71" s="8"/>
      <c r="DB71" s="18"/>
      <c r="DC71" s="8"/>
    </row>
    <row r="72" spans="2:107">
      <c r="B72" s="6" t="s">
        <v>49</v>
      </c>
      <c r="C72" s="6"/>
      <c r="D72" s="18"/>
      <c r="E72" s="6"/>
      <c r="F72" s="18"/>
      <c r="G72" s="6"/>
      <c r="H72" s="18"/>
      <c r="I72" s="6"/>
      <c r="J72" s="18"/>
      <c r="K72" s="6"/>
      <c r="L72" s="18"/>
      <c r="M72" s="6"/>
      <c r="N72" s="18"/>
      <c r="O72" s="6"/>
      <c r="P72" s="18"/>
      <c r="Q72" s="6"/>
      <c r="R72" s="18"/>
      <c r="S72" s="6"/>
      <c r="T72" s="18"/>
      <c r="U72" s="6"/>
      <c r="V72" s="18"/>
      <c r="W72" s="6"/>
      <c r="X72" s="18"/>
      <c r="Y72" s="6"/>
      <c r="Z72" s="18"/>
      <c r="AA72" s="6"/>
      <c r="AB72" s="18"/>
      <c r="AC72" s="6"/>
      <c r="AD72" s="18"/>
      <c r="AE72" s="6"/>
      <c r="AF72" s="18"/>
      <c r="AG72" s="6"/>
      <c r="AH72" s="18"/>
      <c r="AI72" s="6"/>
      <c r="AJ72" s="18"/>
      <c r="AK72" s="6"/>
      <c r="AL72" s="18"/>
      <c r="AM72" s="6"/>
      <c r="AN72" s="18"/>
      <c r="AO72" s="6"/>
      <c r="AP72" s="18"/>
      <c r="AQ72" s="18"/>
      <c r="AR72" s="18"/>
      <c r="AS72" s="6"/>
      <c r="AT72" s="18"/>
      <c r="AU72" s="6"/>
      <c r="AV72" s="18"/>
      <c r="AW72" s="6"/>
      <c r="AX72" s="18"/>
      <c r="AY72" s="6"/>
      <c r="AZ72" s="18"/>
      <c r="BA72" s="6"/>
      <c r="BB72" s="18"/>
      <c r="BC72" s="6"/>
      <c r="BD72" s="18"/>
      <c r="BE72" s="6"/>
      <c r="BF72" s="18"/>
      <c r="BG72" s="6"/>
      <c r="BH72" s="18"/>
      <c r="BI72" s="6"/>
      <c r="BJ72" s="18"/>
      <c r="BK72" s="6"/>
      <c r="BL72" s="18"/>
      <c r="BM72" s="6"/>
      <c r="BN72" s="18"/>
      <c r="BO72" s="6"/>
      <c r="BP72" s="18"/>
      <c r="BQ72" s="6"/>
      <c r="BR72" s="18"/>
      <c r="BS72" s="6"/>
      <c r="BT72" s="18"/>
      <c r="BU72" s="6"/>
      <c r="BV72" s="18"/>
      <c r="BW72" s="6"/>
      <c r="BX72" s="18"/>
      <c r="BY72" s="6"/>
      <c r="BZ72" s="18"/>
      <c r="CA72" s="6"/>
      <c r="CB72" s="18"/>
      <c r="CC72" s="6"/>
      <c r="CD72" s="18"/>
      <c r="CE72" s="6"/>
      <c r="CF72" s="18"/>
      <c r="CG72" s="6"/>
      <c r="CH72" s="18"/>
      <c r="CI72" s="6"/>
      <c r="CJ72" s="18"/>
      <c r="CK72" s="6"/>
      <c r="CL72" s="18"/>
      <c r="CM72" s="6"/>
      <c r="CN72" s="18"/>
      <c r="CO72" s="6"/>
      <c r="CP72" s="18"/>
      <c r="CQ72" s="8"/>
      <c r="CR72" s="18"/>
      <c r="CS72" s="6"/>
      <c r="CT72" s="18"/>
      <c r="CU72" s="6"/>
      <c r="CV72" s="18"/>
      <c r="CW72" s="8"/>
      <c r="CX72" s="18"/>
      <c r="CY72" s="8"/>
      <c r="CZ72" s="18"/>
      <c r="DA72" s="6"/>
      <c r="DB72" s="18"/>
      <c r="DC72" s="6"/>
    </row>
    <row r="73" spans="2:107">
      <c r="B73" s="8" t="s">
        <v>50</v>
      </c>
      <c r="C73" s="8"/>
      <c r="D73" s="7"/>
      <c r="E73" s="8"/>
      <c r="F73" s="7"/>
      <c r="G73" s="8"/>
      <c r="H73" s="7"/>
      <c r="I73" s="8"/>
      <c r="J73" s="7">
        <v>0</v>
      </c>
      <c r="K73" s="8"/>
      <c r="L73" s="7">
        <v>0</v>
      </c>
      <c r="M73" s="8"/>
      <c r="N73" s="7">
        <v>0</v>
      </c>
      <c r="O73" s="8"/>
      <c r="P73" s="7">
        <v>0</v>
      </c>
      <c r="Q73" s="8"/>
      <c r="R73" s="7">
        <v>650000</v>
      </c>
      <c r="S73" s="8"/>
      <c r="T73" s="7">
        <v>1300000</v>
      </c>
      <c r="U73" s="8"/>
      <c r="V73" s="7">
        <v>9023304.7200000007</v>
      </c>
      <c r="W73" s="8"/>
      <c r="X73" s="7">
        <v>4642641.2600000007</v>
      </c>
      <c r="Y73" s="8"/>
      <c r="Z73" s="7">
        <v>2728457.2</v>
      </c>
      <c r="AA73" s="8"/>
      <c r="AB73" s="7">
        <v>20570035.71802</v>
      </c>
      <c r="AC73" s="8"/>
      <c r="AD73" s="7">
        <v>15049341.030000001</v>
      </c>
      <c r="AE73" s="8"/>
      <c r="AF73" s="7">
        <v>17275635.93</v>
      </c>
      <c r="AG73" s="8"/>
      <c r="AH73" s="7">
        <v>3504069.06</v>
      </c>
      <c r="AI73" s="8"/>
      <c r="AJ73" s="7">
        <v>3507243.67</v>
      </c>
      <c r="AK73" s="8"/>
      <c r="AL73" s="7">
        <v>3510437.3899999997</v>
      </c>
      <c r="AM73" s="8"/>
      <c r="AN73" s="7">
        <v>3685273.1399999997</v>
      </c>
      <c r="AO73" s="8"/>
      <c r="AP73" s="7">
        <v>2621745.7999999998</v>
      </c>
      <c r="AQ73" s="7"/>
      <c r="AR73" s="7">
        <v>3210002.6</v>
      </c>
      <c r="AS73" s="8"/>
      <c r="AT73" s="7">
        <v>2560002.61</v>
      </c>
      <c r="AU73" s="8"/>
      <c r="AV73" s="7">
        <v>10379916.960000001</v>
      </c>
      <c r="AW73" s="8"/>
      <c r="AX73" s="7">
        <v>3321053.46</v>
      </c>
      <c r="AY73" s="8"/>
      <c r="AZ73" s="7">
        <v>2561587.15</v>
      </c>
      <c r="BA73" s="8"/>
      <c r="BB73" s="7">
        <v>2533705.7000000002</v>
      </c>
      <c r="BC73" s="8"/>
      <c r="BD73" s="7">
        <v>5255463.67</v>
      </c>
      <c r="BE73" s="8"/>
      <c r="BF73" s="7">
        <v>4959614.53</v>
      </c>
      <c r="BG73" s="8"/>
      <c r="BH73" s="7">
        <v>4702169.12</v>
      </c>
      <c r="BI73" s="8"/>
      <c r="BJ73" s="7">
        <v>4002697</v>
      </c>
      <c r="BK73" s="8"/>
      <c r="BL73" s="7">
        <v>3004961.6899999995</v>
      </c>
      <c r="BM73" s="8"/>
      <c r="BN73" s="7">
        <v>1371781.3499999999</v>
      </c>
      <c r="BO73" s="8"/>
      <c r="BP73" s="7">
        <v>8587842.4199999999</v>
      </c>
      <c r="BQ73" s="8"/>
      <c r="BR73" s="7">
        <v>7793235.1500000004</v>
      </c>
      <c r="BS73" s="8"/>
      <c r="BT73" s="7">
        <v>5315401.9300000006</v>
      </c>
      <c r="BU73" s="8"/>
      <c r="BV73" s="7">
        <v>2984850.25</v>
      </c>
      <c r="BW73" s="8"/>
      <c r="BX73" s="7">
        <v>4530688.0600000005</v>
      </c>
      <c r="BY73" s="8"/>
      <c r="BZ73" s="7">
        <v>4856554.16</v>
      </c>
      <c r="CA73" s="8"/>
      <c r="CB73" s="7">
        <v>4855831.66</v>
      </c>
      <c r="CC73" s="8"/>
      <c r="CD73" s="7">
        <v>2936889.84</v>
      </c>
      <c r="CE73" s="8"/>
      <c r="CF73" s="7">
        <v>3481281.13</v>
      </c>
      <c r="CG73" s="8"/>
      <c r="CH73" s="7">
        <v>3744328.3200000003</v>
      </c>
      <c r="CI73" s="8"/>
      <c r="CJ73" s="7">
        <v>3706712.95</v>
      </c>
      <c r="CK73" s="8"/>
      <c r="CL73" s="7">
        <v>3356020.2600000002</v>
      </c>
      <c r="CM73" s="8"/>
      <c r="CN73" s="7">
        <v>3631076.88</v>
      </c>
      <c r="CO73" s="8"/>
      <c r="CP73" s="7">
        <v>3584857.95</v>
      </c>
      <c r="CQ73" s="19"/>
      <c r="CR73" s="7">
        <v>3443045.39</v>
      </c>
      <c r="CS73" s="8"/>
      <c r="CT73" s="7">
        <v>2427018.7400000002</v>
      </c>
      <c r="CU73" s="8"/>
      <c r="CV73" s="7">
        <v>3744038.16</v>
      </c>
      <c r="CW73" s="19"/>
      <c r="CX73" s="7">
        <v>3218475.84</v>
      </c>
      <c r="CY73" s="19"/>
      <c r="CZ73" s="7">
        <v>2499278.54</v>
      </c>
      <c r="DA73" s="9"/>
      <c r="DB73" s="7">
        <v>1720760.28</v>
      </c>
      <c r="DC73" s="8"/>
    </row>
    <row r="74" spans="2:107">
      <c r="B74" s="23" t="s">
        <v>40</v>
      </c>
      <c r="C74" s="23"/>
      <c r="D74" s="7"/>
      <c r="E74" s="23"/>
      <c r="F74" s="7"/>
      <c r="G74" s="23"/>
      <c r="H74" s="7"/>
      <c r="I74" s="23"/>
      <c r="J74" s="7">
        <v>164943066.18519169</v>
      </c>
      <c r="K74" s="23"/>
      <c r="L74" s="7">
        <v>90812131.465922296</v>
      </c>
      <c r="M74" s="23"/>
      <c r="N74" s="7">
        <v>89193196.421505898</v>
      </c>
      <c r="O74" s="23"/>
      <c r="P74" s="7">
        <v>83988329.090521827</v>
      </c>
      <c r="Q74" s="23"/>
      <c r="R74" s="7">
        <v>145794235.82532561</v>
      </c>
      <c r="S74" s="23"/>
      <c r="T74" s="7">
        <v>90819388.753352478</v>
      </c>
      <c r="U74" s="23"/>
      <c r="V74" s="7">
        <v>66991489.950804114</v>
      </c>
      <c r="W74" s="23"/>
      <c r="X74" s="7">
        <v>75434536.576345116</v>
      </c>
      <c r="Y74" s="23"/>
      <c r="Z74" s="7">
        <v>56368054.19778005</v>
      </c>
      <c r="AA74" s="23"/>
      <c r="AB74" s="7">
        <v>71592904.07441926</v>
      </c>
      <c r="AC74" s="23"/>
      <c r="AD74" s="7">
        <v>44363434.08811897</v>
      </c>
      <c r="AE74" s="23"/>
      <c r="AF74" s="7">
        <v>43202027.079327472</v>
      </c>
      <c r="AG74" s="23"/>
      <c r="AH74" s="7">
        <v>45936417.440000005</v>
      </c>
      <c r="AI74" s="23"/>
      <c r="AJ74" s="7">
        <v>44444553.090000004</v>
      </c>
      <c r="AK74" s="23"/>
      <c r="AL74" s="7">
        <v>24021466.66</v>
      </c>
      <c r="AM74" s="23"/>
      <c r="AN74" s="7">
        <v>20609373.150000002</v>
      </c>
      <c r="AO74" s="23"/>
      <c r="AP74" s="7">
        <v>25844004.530000001</v>
      </c>
      <c r="AQ74" s="7"/>
      <c r="AR74" s="7">
        <v>27569488.710000001</v>
      </c>
      <c r="AS74" s="23"/>
      <c r="AT74" s="7">
        <v>15490808.010000002</v>
      </c>
      <c r="AU74" s="23"/>
      <c r="AV74" s="7">
        <v>29539635.630000003</v>
      </c>
      <c r="AW74" s="23"/>
      <c r="AX74" s="7">
        <v>43933689.880000003</v>
      </c>
      <c r="AY74" s="23"/>
      <c r="AZ74" s="7">
        <v>27520830.539999999</v>
      </c>
      <c r="BA74" s="23"/>
      <c r="BB74" s="7">
        <v>17656255.809999995</v>
      </c>
      <c r="BC74" s="23"/>
      <c r="BD74" s="7">
        <v>25869020.939999998</v>
      </c>
      <c r="BE74" s="23"/>
      <c r="BF74" s="7">
        <v>42029369.82</v>
      </c>
      <c r="BG74" s="23"/>
      <c r="BH74" s="7">
        <v>23500025.420000002</v>
      </c>
      <c r="BI74" s="23"/>
      <c r="BJ74" s="7">
        <v>12844182.699999999</v>
      </c>
      <c r="BK74" s="23"/>
      <c r="BL74" s="7">
        <v>14398798.68</v>
      </c>
      <c r="BM74" s="23"/>
      <c r="BN74" s="7">
        <v>33357865.639999997</v>
      </c>
      <c r="BO74" s="23"/>
      <c r="BP74" s="7">
        <v>11564547.879999999</v>
      </c>
      <c r="BQ74" s="23"/>
      <c r="BR74" s="7">
        <v>8796430.2400000002</v>
      </c>
      <c r="BS74" s="23"/>
      <c r="BT74" s="7">
        <v>9479687.1100000013</v>
      </c>
      <c r="BU74" s="23"/>
      <c r="BV74" s="7">
        <v>15333478.850000001</v>
      </c>
      <c r="BW74" s="23"/>
      <c r="BX74" s="7">
        <v>15303687.570000002</v>
      </c>
      <c r="BY74" s="23"/>
      <c r="BZ74" s="7">
        <v>10984735.069999997</v>
      </c>
      <c r="CA74" s="23"/>
      <c r="CB74" s="7">
        <v>7677354.4299999978</v>
      </c>
      <c r="CC74" s="23"/>
      <c r="CD74" s="7">
        <v>29145068.98</v>
      </c>
      <c r="CE74" s="23"/>
      <c r="CF74" s="7">
        <v>31960332.040000003</v>
      </c>
      <c r="CG74" s="23"/>
      <c r="CH74" s="7">
        <v>5949907.0699999994</v>
      </c>
      <c r="CI74" s="23"/>
      <c r="CJ74" s="7">
        <v>14843289.810000001</v>
      </c>
      <c r="CK74" s="23"/>
      <c r="CL74" s="7">
        <v>27639636.52</v>
      </c>
      <c r="CM74" s="23"/>
      <c r="CN74" s="7">
        <v>24869056.377043843</v>
      </c>
      <c r="CO74" s="23"/>
      <c r="CP74" s="7">
        <v>18322256.463249933</v>
      </c>
      <c r="CQ74" s="6"/>
      <c r="CR74" s="7">
        <v>15314093.601043912</v>
      </c>
      <c r="CS74" s="23"/>
      <c r="CT74" s="7">
        <v>29115415.894279711</v>
      </c>
      <c r="CU74" s="23"/>
      <c r="CV74" s="7">
        <v>31061667.417002525</v>
      </c>
      <c r="CW74" s="6"/>
      <c r="CX74" s="7">
        <v>10532323.87313905</v>
      </c>
      <c r="CY74" s="6"/>
      <c r="CZ74" s="7">
        <v>30990466.018942121</v>
      </c>
      <c r="DA74" s="9"/>
      <c r="DB74" s="7">
        <v>16740055.090000004</v>
      </c>
      <c r="DC74" s="23"/>
    </row>
    <row r="75" spans="2:107" hidden="1">
      <c r="B75" s="8" t="s">
        <v>51</v>
      </c>
      <c r="C75" s="8"/>
      <c r="D75" s="7"/>
      <c r="E75" s="8"/>
      <c r="F75" s="7"/>
      <c r="G75" s="8"/>
      <c r="H75" s="7"/>
      <c r="I75" s="8"/>
      <c r="J75" s="7"/>
      <c r="K75" s="8"/>
      <c r="L75" s="7"/>
      <c r="M75" s="8"/>
      <c r="N75" s="7"/>
      <c r="O75" s="8"/>
      <c r="P75" s="7"/>
      <c r="Q75" s="8"/>
      <c r="R75" s="7"/>
      <c r="S75" s="8"/>
      <c r="T75" s="7"/>
      <c r="U75" s="8"/>
      <c r="V75" s="7"/>
      <c r="W75" s="8"/>
      <c r="X75" s="7"/>
      <c r="Y75" s="8"/>
      <c r="Z75" s="7"/>
      <c r="AA75" s="8"/>
      <c r="AB75" s="7"/>
      <c r="AC75" s="8"/>
      <c r="AD75" s="7"/>
      <c r="AE75" s="8"/>
      <c r="AF75" s="7"/>
      <c r="AG75" s="8"/>
      <c r="AH75" s="7">
        <v>0</v>
      </c>
      <c r="AI75" s="8"/>
      <c r="AJ75" s="7"/>
      <c r="AK75" s="8"/>
      <c r="AL75" s="7"/>
      <c r="AM75" s="8"/>
      <c r="AN75" s="7">
        <v>0</v>
      </c>
      <c r="AO75" s="8"/>
      <c r="AP75" s="7"/>
      <c r="AQ75" s="7"/>
      <c r="AR75" s="7"/>
      <c r="AS75" s="8"/>
      <c r="AT75" s="7"/>
      <c r="AU75" s="8"/>
      <c r="AV75" s="7">
        <f>SUM(AV76:AV78)</f>
        <v>1616645.7649008469</v>
      </c>
      <c r="AW75" s="8"/>
      <c r="AX75" s="7">
        <f>SUM(AX76:AX78)</f>
        <v>1389002.7905732507</v>
      </c>
      <c r="AY75" s="8"/>
      <c r="AZ75" s="7">
        <v>311811.71999999997</v>
      </c>
      <c r="BA75" s="8"/>
      <c r="BB75" s="7">
        <f>SUM(BB76:BB78)</f>
        <v>357776.92</v>
      </c>
      <c r="BC75" s="8"/>
      <c r="BD75" s="7">
        <f>SUM(BD76:BD78)</f>
        <v>485149.26</v>
      </c>
      <c r="BE75" s="8"/>
      <c r="BF75" s="7">
        <f>SUM(BF76:BF78)</f>
        <v>593755.38</v>
      </c>
      <c r="BG75" s="8"/>
      <c r="BH75" s="7">
        <v>698481.31</v>
      </c>
      <c r="BI75" s="8"/>
      <c r="BJ75" s="7">
        <f>SUM(BJ76:BJ78)</f>
        <v>769532.37000000011</v>
      </c>
      <c r="BK75" s="8"/>
      <c r="BL75" s="7">
        <f>SUM(BL76:BL78)</f>
        <v>772247.1</v>
      </c>
      <c r="BM75" s="8"/>
      <c r="BN75" s="7">
        <v>819555.16</v>
      </c>
      <c r="BO75" s="8"/>
      <c r="BP75" s="7">
        <v>665664.30000000005</v>
      </c>
      <c r="BQ75" s="8"/>
      <c r="BR75" s="7">
        <f>SUM(BR76:BR78)</f>
        <v>639940.98</v>
      </c>
      <c r="BS75" s="8"/>
      <c r="BT75" s="7">
        <f>SUM(BT76:BT78)</f>
        <v>558248.26</v>
      </c>
      <c r="BU75" s="8"/>
      <c r="BV75" s="7">
        <f>SUM(BV76:BV78)</f>
        <v>560630.27999999991</v>
      </c>
      <c r="BW75" s="8"/>
      <c r="BX75" s="7">
        <v>732947.44</v>
      </c>
      <c r="BY75" s="8"/>
      <c r="BZ75" s="7">
        <f>SUM(BZ76:BZ78)</f>
        <v>872550.58000000007</v>
      </c>
      <c r="CA75" s="8"/>
      <c r="CB75" s="7">
        <f>SUM(CB76:CB78)</f>
        <v>1027343.16</v>
      </c>
      <c r="CC75" s="8"/>
      <c r="CD75" s="7">
        <f>SUM(CD76:CD78)</f>
        <v>1116515.72</v>
      </c>
      <c r="CE75" s="8"/>
      <c r="CF75" s="7">
        <v>1145730.0599999998</v>
      </c>
      <c r="CG75" s="8"/>
      <c r="CH75" s="7">
        <v>1207663.4400000002</v>
      </c>
      <c r="CI75" s="8"/>
      <c r="CJ75" s="7">
        <v>1244880.05</v>
      </c>
      <c r="CK75" s="8"/>
      <c r="CL75" s="7">
        <v>1359850.02</v>
      </c>
      <c r="CM75" s="8"/>
      <c r="CN75" s="18">
        <f>SUM(CN76:CN78)</f>
        <v>1164226.76</v>
      </c>
      <c r="CO75" s="8"/>
      <c r="CP75" s="18">
        <f>SUM(CP76:CP78)</f>
        <v>1076394.32</v>
      </c>
      <c r="CQ75" s="6"/>
      <c r="CR75" s="18">
        <f>SUM(CR76:CR78)</f>
        <v>1035966.96</v>
      </c>
      <c r="CS75" s="8"/>
      <c r="CT75" s="7">
        <v>1020118.26</v>
      </c>
      <c r="CU75" s="8"/>
      <c r="CV75" s="18">
        <f>SUM(CV76:CV78)</f>
        <v>694448.07</v>
      </c>
      <c r="CW75" s="6"/>
      <c r="CX75" s="18">
        <f>SUM(CX76:CX78)</f>
        <v>2924567.4699999997</v>
      </c>
      <c r="CY75" s="6"/>
      <c r="CZ75" s="7">
        <v>669094.32999999996</v>
      </c>
      <c r="DA75" s="9"/>
      <c r="DB75" s="7">
        <v>809710.60747491452</v>
      </c>
      <c r="DC75" s="8"/>
    </row>
    <row r="76" spans="2:107">
      <c r="B76" s="23" t="s">
        <v>42</v>
      </c>
      <c r="C76" s="24"/>
      <c r="D76" s="7"/>
      <c r="E76" s="24"/>
      <c r="F76" s="7"/>
      <c r="G76" s="24"/>
      <c r="H76" s="7"/>
      <c r="I76" s="24"/>
      <c r="J76" s="7">
        <v>0</v>
      </c>
      <c r="K76" s="24"/>
      <c r="L76" s="7">
        <v>0</v>
      </c>
      <c r="M76" s="24"/>
      <c r="N76" s="7">
        <v>0</v>
      </c>
      <c r="O76" s="24"/>
      <c r="P76" s="7">
        <v>0</v>
      </c>
      <c r="Q76" s="24"/>
      <c r="R76" s="7">
        <v>0</v>
      </c>
      <c r="S76" s="24"/>
      <c r="T76" s="7">
        <v>0</v>
      </c>
      <c r="U76" s="24"/>
      <c r="V76" s="7">
        <v>0</v>
      </c>
      <c r="W76" s="24"/>
      <c r="X76" s="7">
        <v>0</v>
      </c>
      <c r="Y76" s="24"/>
      <c r="Z76" s="7">
        <v>0</v>
      </c>
      <c r="AA76" s="24"/>
      <c r="AB76" s="7">
        <v>0</v>
      </c>
      <c r="AC76" s="24"/>
      <c r="AD76" s="7">
        <v>0</v>
      </c>
      <c r="AE76" s="24"/>
      <c r="AF76" s="7">
        <v>0</v>
      </c>
      <c r="AG76" s="24"/>
      <c r="AH76" s="7">
        <v>0</v>
      </c>
      <c r="AI76" s="24"/>
      <c r="AJ76" s="7">
        <v>0</v>
      </c>
      <c r="AK76" s="24"/>
      <c r="AL76" s="7">
        <v>0</v>
      </c>
      <c r="AM76" s="24"/>
      <c r="AN76" s="7">
        <v>0</v>
      </c>
      <c r="AO76" s="24"/>
      <c r="AP76" s="7">
        <v>0</v>
      </c>
      <c r="AQ76" s="7"/>
      <c r="AR76" s="7">
        <v>0</v>
      </c>
      <c r="AS76" s="24"/>
      <c r="AT76" s="7">
        <v>0</v>
      </c>
      <c r="AU76" s="24"/>
      <c r="AV76" s="7">
        <v>0</v>
      </c>
      <c r="AW76" s="24"/>
      <c r="AX76" s="7">
        <v>0</v>
      </c>
      <c r="AY76" s="24"/>
      <c r="AZ76" s="7">
        <v>0</v>
      </c>
      <c r="BA76" s="24"/>
      <c r="BB76" s="7">
        <v>0</v>
      </c>
      <c r="BC76" s="24"/>
      <c r="BD76" s="7">
        <v>0</v>
      </c>
      <c r="BE76" s="24"/>
      <c r="BF76" s="7">
        <v>0</v>
      </c>
      <c r="BG76" s="24"/>
      <c r="BH76" s="7">
        <v>0</v>
      </c>
      <c r="BI76" s="24"/>
      <c r="BJ76" s="7">
        <v>0</v>
      </c>
      <c r="BK76" s="24"/>
      <c r="BL76" s="7">
        <v>0</v>
      </c>
      <c r="BM76" s="24"/>
      <c r="BN76" s="7">
        <v>0</v>
      </c>
      <c r="BO76" s="24"/>
      <c r="BP76" s="7">
        <v>0</v>
      </c>
      <c r="BQ76" s="24"/>
      <c r="BR76" s="7">
        <v>0</v>
      </c>
      <c r="BS76" s="24"/>
      <c r="BT76" s="7">
        <v>0</v>
      </c>
      <c r="BU76" s="24"/>
      <c r="BV76" s="7">
        <v>0</v>
      </c>
      <c r="BW76" s="24"/>
      <c r="BX76" s="7">
        <v>0</v>
      </c>
      <c r="BY76" s="24"/>
      <c r="BZ76" s="7">
        <v>0</v>
      </c>
      <c r="CA76" s="24"/>
      <c r="CB76" s="7">
        <v>0</v>
      </c>
      <c r="CC76" s="24"/>
      <c r="CD76" s="7">
        <v>0</v>
      </c>
      <c r="CE76" s="24"/>
      <c r="CF76" s="7">
        <v>0</v>
      </c>
      <c r="CG76" s="24"/>
      <c r="CH76" s="7">
        <v>0</v>
      </c>
      <c r="CI76" s="24"/>
      <c r="CJ76" s="7">
        <v>0</v>
      </c>
      <c r="CK76" s="24"/>
      <c r="CL76" s="7">
        <v>0</v>
      </c>
      <c r="CM76" s="24"/>
      <c r="CN76" s="7">
        <v>0</v>
      </c>
      <c r="CO76" s="24"/>
      <c r="CP76" s="7">
        <v>0</v>
      </c>
      <c r="CQ76" s="6"/>
      <c r="CR76" s="7">
        <v>0</v>
      </c>
      <c r="CS76" s="24"/>
      <c r="CT76" s="7">
        <v>0</v>
      </c>
      <c r="CU76" s="24"/>
      <c r="CV76" s="7">
        <v>0</v>
      </c>
      <c r="CW76" s="6"/>
      <c r="CX76" s="7">
        <v>0</v>
      </c>
      <c r="CY76" s="6"/>
      <c r="CZ76" s="7">
        <v>0</v>
      </c>
      <c r="DA76" s="9"/>
      <c r="DB76" s="7">
        <v>0</v>
      </c>
      <c r="DC76" s="24"/>
    </row>
    <row r="77" spans="2:107">
      <c r="B77" s="23" t="s">
        <v>291</v>
      </c>
      <c r="C77" s="24"/>
      <c r="D77" s="7"/>
      <c r="E77" s="24"/>
      <c r="F77" s="7"/>
      <c r="G77" s="24"/>
      <c r="H77" s="7"/>
      <c r="I77" s="24"/>
      <c r="J77" s="7">
        <v>4947047.1278820774</v>
      </c>
      <c r="K77" s="24"/>
      <c r="L77" s="7">
        <v>5320795.3762681419</v>
      </c>
      <c r="M77" s="24"/>
      <c r="N77" s="7">
        <v>3965676.8256900846</v>
      </c>
      <c r="O77" s="24"/>
      <c r="P77" s="7">
        <v>3980452.8412350267</v>
      </c>
      <c r="Q77" s="24"/>
      <c r="R77" s="7">
        <v>3387961.9134655632</v>
      </c>
      <c r="S77" s="24"/>
      <c r="T77" s="7">
        <v>3572773.405546003</v>
      </c>
      <c r="U77" s="24"/>
      <c r="V77" s="7">
        <v>3134054.8977239435</v>
      </c>
      <c r="W77" s="24"/>
      <c r="X77" s="7">
        <v>2706897.2389824358</v>
      </c>
      <c r="Y77" s="24"/>
      <c r="Z77" s="7">
        <v>2610415.0584484781</v>
      </c>
      <c r="AA77" s="24"/>
      <c r="AB77" s="7">
        <v>3100201.2491949466</v>
      </c>
      <c r="AC77" s="24"/>
      <c r="AD77" s="7">
        <v>3716195.1430235417</v>
      </c>
      <c r="AE77" s="24"/>
      <c r="AF77" s="7">
        <v>3512083.3652732861</v>
      </c>
      <c r="AG77" s="24"/>
      <c r="AH77" s="7">
        <v>3491520.4167254353</v>
      </c>
      <c r="AI77" s="24"/>
      <c r="AJ77" s="7">
        <v>2952766.1999999997</v>
      </c>
      <c r="AK77" s="24"/>
      <c r="AL77" s="7">
        <v>2947440.4062452842</v>
      </c>
      <c r="AM77" s="24"/>
      <c r="AN77" s="7">
        <v>3060382.7379697892</v>
      </c>
      <c r="AO77" s="24"/>
      <c r="AP77" s="7">
        <v>2728913.9945384804</v>
      </c>
      <c r="AQ77" s="7"/>
      <c r="AR77" s="7">
        <v>2646172.5474897497</v>
      </c>
      <c r="AS77" s="24"/>
      <c r="AT77" s="7">
        <v>1688043.3339655399</v>
      </c>
      <c r="AU77" s="24"/>
      <c r="AV77" s="7">
        <v>1616645.7649008469</v>
      </c>
      <c r="AW77" s="24"/>
      <c r="AX77" s="7">
        <v>1389002.7905732507</v>
      </c>
      <c r="AY77" s="24"/>
      <c r="AZ77" s="7">
        <v>311811.71999999997</v>
      </c>
      <c r="BA77" s="24"/>
      <c r="BB77" s="7">
        <v>357776.92</v>
      </c>
      <c r="BC77" s="24"/>
      <c r="BD77" s="7">
        <v>485149.26</v>
      </c>
      <c r="BE77" s="24"/>
      <c r="BF77" s="7">
        <v>593755.38</v>
      </c>
      <c r="BG77" s="24"/>
      <c r="BH77" s="7">
        <v>698481.31</v>
      </c>
      <c r="BI77" s="24"/>
      <c r="BJ77" s="7">
        <v>769532.37000000011</v>
      </c>
      <c r="BK77" s="24"/>
      <c r="BL77" s="7">
        <v>772247.1</v>
      </c>
      <c r="BM77" s="24"/>
      <c r="BN77" s="7">
        <v>819555.16</v>
      </c>
      <c r="BO77" s="24"/>
      <c r="BP77" s="7">
        <v>665664.30000000005</v>
      </c>
      <c r="BQ77" s="24"/>
      <c r="BR77" s="7">
        <v>639940.98</v>
      </c>
      <c r="BS77" s="24"/>
      <c r="BT77" s="7">
        <v>558248.26</v>
      </c>
      <c r="BU77" s="24"/>
      <c r="BV77" s="7">
        <v>560630.27999999991</v>
      </c>
      <c r="BW77" s="24"/>
      <c r="BX77" s="7">
        <v>732947.44</v>
      </c>
      <c r="BY77" s="24"/>
      <c r="BZ77" s="7">
        <v>872550.58000000007</v>
      </c>
      <c r="CA77" s="24"/>
      <c r="CB77" s="7">
        <v>1027343.16</v>
      </c>
      <c r="CC77" s="24"/>
      <c r="CD77" s="7">
        <v>1116515.72</v>
      </c>
      <c r="CE77" s="24"/>
      <c r="CF77" s="7">
        <v>1145730.0599999998</v>
      </c>
      <c r="CG77" s="24"/>
      <c r="CH77" s="7">
        <v>1207663.4400000002</v>
      </c>
      <c r="CI77" s="24"/>
      <c r="CJ77" s="7">
        <v>1244880.05</v>
      </c>
      <c r="CK77" s="24"/>
      <c r="CL77" s="7">
        <v>1359850.02</v>
      </c>
      <c r="CM77" s="24"/>
      <c r="CN77" s="7">
        <v>1164226.76</v>
      </c>
      <c r="CO77" s="24"/>
      <c r="CP77" s="7">
        <v>1076394.32</v>
      </c>
      <c r="CQ77" s="6"/>
      <c r="CR77" s="7">
        <v>1035966.96</v>
      </c>
      <c r="CS77" s="24"/>
      <c r="CT77" s="7">
        <v>1020118.26</v>
      </c>
      <c r="CU77" s="24"/>
      <c r="CV77" s="7">
        <v>694448.07</v>
      </c>
      <c r="CW77" s="6"/>
      <c r="CX77" s="7">
        <v>657892.17000000004</v>
      </c>
      <c r="CY77" s="6"/>
      <c r="CZ77" s="7">
        <v>669094.32999999996</v>
      </c>
      <c r="DA77" s="9"/>
      <c r="DB77" s="7">
        <v>809710.60747491452</v>
      </c>
      <c r="DC77" s="24"/>
    </row>
    <row r="78" spans="2:107" s="13" customFormat="1">
      <c r="B78" s="23" t="s">
        <v>43</v>
      </c>
      <c r="C78" s="24"/>
      <c r="D78" s="7"/>
      <c r="E78" s="24"/>
      <c r="F78" s="7"/>
      <c r="G78" s="24"/>
      <c r="H78" s="7"/>
      <c r="I78" s="24"/>
      <c r="J78" s="7">
        <v>0</v>
      </c>
      <c r="K78" s="24"/>
      <c r="L78" s="7">
        <v>0</v>
      </c>
      <c r="M78" s="24"/>
      <c r="N78" s="7">
        <v>0</v>
      </c>
      <c r="O78" s="24"/>
      <c r="P78" s="7">
        <v>0</v>
      </c>
      <c r="Q78" s="24"/>
      <c r="R78" s="7">
        <v>169592.06</v>
      </c>
      <c r="S78" s="24"/>
      <c r="T78" s="7">
        <v>0</v>
      </c>
      <c r="U78" s="24"/>
      <c r="V78" s="7">
        <v>34384.46</v>
      </c>
      <c r="W78" s="24"/>
      <c r="X78" s="7">
        <v>469519.45</v>
      </c>
      <c r="Y78" s="24"/>
      <c r="Z78" s="7">
        <v>270132.02</v>
      </c>
      <c r="AA78" s="24"/>
      <c r="AB78" s="7">
        <v>0</v>
      </c>
      <c r="AC78" s="24"/>
      <c r="AD78" s="7">
        <v>0</v>
      </c>
      <c r="AE78" s="24"/>
      <c r="AF78" s="7">
        <v>0</v>
      </c>
      <c r="AG78" s="24"/>
      <c r="AH78" s="7">
        <v>0</v>
      </c>
      <c r="AI78" s="24"/>
      <c r="AJ78" s="7">
        <v>0</v>
      </c>
      <c r="AK78" s="24"/>
      <c r="AL78" s="7">
        <v>0</v>
      </c>
      <c r="AM78" s="24"/>
      <c r="AN78" s="7">
        <v>0</v>
      </c>
      <c r="AO78" s="24"/>
      <c r="AP78" s="7">
        <v>0</v>
      </c>
      <c r="AQ78" s="7"/>
      <c r="AR78" s="7">
        <v>0</v>
      </c>
      <c r="AS78" s="24"/>
      <c r="AT78" s="7">
        <v>0</v>
      </c>
      <c r="AU78" s="24"/>
      <c r="AV78" s="7">
        <v>0</v>
      </c>
      <c r="AW78" s="24"/>
      <c r="AX78" s="7">
        <v>0</v>
      </c>
      <c r="AY78" s="24"/>
      <c r="AZ78" s="7">
        <v>0</v>
      </c>
      <c r="BA78" s="24"/>
      <c r="BB78" s="7">
        <v>0</v>
      </c>
      <c r="BC78" s="24"/>
      <c r="BD78" s="7">
        <v>0</v>
      </c>
      <c r="BE78" s="24"/>
      <c r="BF78" s="7">
        <v>0</v>
      </c>
      <c r="BG78" s="24"/>
      <c r="BH78" s="7">
        <v>0</v>
      </c>
      <c r="BI78" s="24"/>
      <c r="BJ78" s="7">
        <v>0</v>
      </c>
      <c r="BK78" s="24"/>
      <c r="BL78" s="7">
        <v>0</v>
      </c>
      <c r="BM78" s="24"/>
      <c r="BN78" s="7">
        <v>0</v>
      </c>
      <c r="BO78" s="24"/>
      <c r="BP78" s="7">
        <v>0</v>
      </c>
      <c r="BQ78" s="24"/>
      <c r="BR78" s="7">
        <v>0</v>
      </c>
      <c r="BS78" s="24"/>
      <c r="BT78" s="7">
        <v>0</v>
      </c>
      <c r="BU78" s="24"/>
      <c r="BV78" s="7">
        <v>0</v>
      </c>
      <c r="BW78" s="24"/>
      <c r="BX78" s="7">
        <v>0</v>
      </c>
      <c r="BY78" s="24"/>
      <c r="BZ78" s="7">
        <v>0</v>
      </c>
      <c r="CA78" s="24"/>
      <c r="CB78" s="7">
        <v>0</v>
      </c>
      <c r="CC78" s="24"/>
      <c r="CD78" s="7">
        <v>0</v>
      </c>
      <c r="CE78" s="24"/>
      <c r="CF78" s="7">
        <v>0</v>
      </c>
      <c r="CG78" s="24"/>
      <c r="CH78" s="7">
        <v>0</v>
      </c>
      <c r="CI78" s="24"/>
      <c r="CJ78" s="7">
        <v>0</v>
      </c>
      <c r="CK78" s="24"/>
      <c r="CL78" s="7">
        <v>0</v>
      </c>
      <c r="CM78" s="24"/>
      <c r="CN78" s="7">
        <v>0</v>
      </c>
      <c r="CO78" s="24"/>
      <c r="CP78" s="7">
        <v>0</v>
      </c>
      <c r="CQ78" s="12"/>
      <c r="CR78" s="7">
        <v>0</v>
      </c>
      <c r="CS78" s="24"/>
      <c r="CT78" s="7">
        <v>0</v>
      </c>
      <c r="CU78" s="24"/>
      <c r="CV78" s="7">
        <v>0</v>
      </c>
      <c r="CW78" s="12"/>
      <c r="CX78" s="7">
        <v>2266675.2999999998</v>
      </c>
      <c r="CY78" s="12"/>
      <c r="CZ78" s="7">
        <v>0</v>
      </c>
      <c r="DA78" s="9"/>
      <c r="DB78" s="7">
        <v>0</v>
      </c>
      <c r="DC78" s="24"/>
    </row>
    <row r="79" spans="2:107">
      <c r="B79" s="8" t="s">
        <v>44</v>
      </c>
      <c r="C79" s="8"/>
      <c r="D79" s="7"/>
      <c r="E79" s="8"/>
      <c r="F79" s="7"/>
      <c r="G79" s="8"/>
      <c r="H79" s="7"/>
      <c r="I79" s="8"/>
      <c r="J79" s="7">
        <v>1557206.650625</v>
      </c>
      <c r="K79" s="8"/>
      <c r="L79" s="7">
        <v>1557523.4475</v>
      </c>
      <c r="M79" s="8"/>
      <c r="N79" s="7">
        <v>1032626.866</v>
      </c>
      <c r="O79" s="8"/>
      <c r="P79" s="7">
        <v>1029668.5900000001</v>
      </c>
      <c r="Q79" s="8"/>
      <c r="R79" s="7">
        <v>1036941.0185</v>
      </c>
      <c r="S79" s="8"/>
      <c r="T79" s="7">
        <v>1054444.1514999999</v>
      </c>
      <c r="U79" s="8"/>
      <c r="V79" s="7">
        <v>1028925.4575</v>
      </c>
      <c r="W79" s="8"/>
      <c r="X79" s="7">
        <v>1041635.9007</v>
      </c>
      <c r="Y79" s="8"/>
      <c r="Z79" s="7">
        <v>1036529.0262</v>
      </c>
      <c r="AA79" s="8"/>
      <c r="AB79" s="7">
        <v>1040841.498</v>
      </c>
      <c r="AC79" s="8"/>
      <c r="AD79" s="7">
        <v>711725.01</v>
      </c>
      <c r="AE79" s="8"/>
      <c r="AF79" s="7">
        <v>711725.01</v>
      </c>
      <c r="AG79" s="8"/>
      <c r="AH79" s="7">
        <v>711725.01</v>
      </c>
      <c r="AI79" s="8"/>
      <c r="AJ79" s="7">
        <v>711725.01</v>
      </c>
      <c r="AK79" s="8"/>
      <c r="AL79" s="7">
        <v>547233.22</v>
      </c>
      <c r="AM79" s="8"/>
      <c r="AN79" s="7">
        <v>547233.22</v>
      </c>
      <c r="AO79" s="8"/>
      <c r="AP79" s="7">
        <v>547233.22</v>
      </c>
      <c r="AQ79" s="7"/>
      <c r="AR79" s="7">
        <v>547233.22</v>
      </c>
      <c r="AS79" s="8"/>
      <c r="AT79" s="7">
        <v>571582.68000000005</v>
      </c>
      <c r="AU79" s="8"/>
      <c r="AV79" s="7">
        <v>571582.68000000005</v>
      </c>
      <c r="AW79" s="8"/>
      <c r="AX79" s="7">
        <v>571582.68000000005</v>
      </c>
      <c r="AY79" s="8"/>
      <c r="AZ79" s="7">
        <v>571582.68000000005</v>
      </c>
      <c r="BA79" s="8"/>
      <c r="BB79" s="7">
        <v>571503.26</v>
      </c>
      <c r="BC79" s="8"/>
      <c r="BD79" s="7">
        <v>571503.26</v>
      </c>
      <c r="BE79" s="8"/>
      <c r="BF79" s="7">
        <v>571503.26</v>
      </c>
      <c r="BG79" s="8"/>
      <c r="BH79" s="7">
        <v>559565.86</v>
      </c>
      <c r="BI79" s="8"/>
      <c r="BJ79" s="7">
        <v>447894.52</v>
      </c>
      <c r="BK79" s="8"/>
      <c r="BL79" s="7">
        <v>447894.52</v>
      </c>
      <c r="BM79" s="8"/>
      <c r="BN79" s="7">
        <v>447894.52</v>
      </c>
      <c r="BO79" s="8"/>
      <c r="BP79" s="7">
        <v>447894.52</v>
      </c>
      <c r="BQ79" s="8"/>
      <c r="BR79" s="7">
        <v>447894.52</v>
      </c>
      <c r="BS79" s="8"/>
      <c r="BT79" s="7">
        <v>447894.52</v>
      </c>
      <c r="BU79" s="8"/>
      <c r="BV79" s="7">
        <v>447894.52</v>
      </c>
      <c r="BW79" s="8"/>
      <c r="BX79" s="7">
        <v>414203.16000000003</v>
      </c>
      <c r="BY79" s="8"/>
      <c r="BZ79" s="7">
        <v>414203.16000000003</v>
      </c>
      <c r="CA79" s="8"/>
      <c r="CB79" s="7">
        <v>414203.16000000003</v>
      </c>
      <c r="CC79" s="8"/>
      <c r="CD79" s="7">
        <v>414203.16000000003</v>
      </c>
      <c r="CE79" s="8"/>
      <c r="CF79" s="7">
        <v>405723.39</v>
      </c>
      <c r="CG79" s="8"/>
      <c r="CH79" s="7">
        <v>405723.39</v>
      </c>
      <c r="CI79" s="8"/>
      <c r="CJ79" s="7">
        <v>413102.35</v>
      </c>
      <c r="CK79" s="8"/>
      <c r="CL79" s="7">
        <v>405723.41</v>
      </c>
      <c r="CM79" s="8"/>
      <c r="CN79" s="7">
        <v>245344.6</v>
      </c>
      <c r="CO79" s="8"/>
      <c r="CP79" s="7">
        <v>245344.6</v>
      </c>
      <c r="CR79" s="7">
        <v>245344.6</v>
      </c>
      <c r="CS79" s="8"/>
      <c r="CT79" s="7">
        <v>294396.48</v>
      </c>
      <c r="CU79" s="8"/>
      <c r="CV79" s="7">
        <v>258135.2</v>
      </c>
      <c r="CX79" s="7">
        <v>258135.2</v>
      </c>
      <c r="CZ79" s="7">
        <v>258135.2</v>
      </c>
      <c r="DA79" s="9"/>
      <c r="DB79" s="7">
        <v>227173.31</v>
      </c>
      <c r="DC79" s="8"/>
    </row>
    <row r="80" spans="2:107">
      <c r="B80" s="8" t="s">
        <v>52</v>
      </c>
      <c r="C80" s="8"/>
      <c r="D80" s="7"/>
      <c r="E80" s="8"/>
      <c r="F80" s="7"/>
      <c r="G80" s="8"/>
      <c r="H80" s="7"/>
      <c r="I80" s="8"/>
      <c r="J80" s="7">
        <v>4907761.9762999993</v>
      </c>
      <c r="K80" s="8"/>
      <c r="L80" s="7">
        <v>6891744.0999999996</v>
      </c>
      <c r="M80" s="8"/>
      <c r="N80" s="7">
        <v>3848952.8280000058</v>
      </c>
      <c r="O80" s="8"/>
      <c r="P80" s="7">
        <v>3543507.0999999982</v>
      </c>
      <c r="Q80" s="8"/>
      <c r="R80" s="7">
        <v>17598490.922837004</v>
      </c>
      <c r="S80" s="8"/>
      <c r="T80" s="7">
        <v>8913046.5549999997</v>
      </c>
      <c r="U80" s="8"/>
      <c r="V80" s="7">
        <v>570298.55328707513</v>
      </c>
      <c r="W80" s="8"/>
      <c r="X80" s="7">
        <v>1604408.045537075</v>
      </c>
      <c r="Y80" s="8"/>
      <c r="Z80" s="7">
        <v>7151843.7428250024</v>
      </c>
      <c r="AA80" s="8"/>
      <c r="AB80" s="7">
        <v>1069802.9812138593</v>
      </c>
      <c r="AC80" s="8"/>
      <c r="AD80" s="7">
        <v>463547.98042973835</v>
      </c>
      <c r="AE80" s="8"/>
      <c r="AF80" s="7">
        <v>990573.49551577051</v>
      </c>
      <c r="AG80" s="8"/>
      <c r="AH80" s="7">
        <v>58742</v>
      </c>
      <c r="AI80" s="8"/>
      <c r="AJ80" s="7">
        <v>689204</v>
      </c>
      <c r="AK80" s="8"/>
      <c r="AL80" s="7">
        <v>0</v>
      </c>
      <c r="AM80" s="8"/>
      <c r="AN80" s="7">
        <v>0</v>
      </c>
      <c r="AO80" s="8"/>
      <c r="AP80" s="7">
        <v>504224</v>
      </c>
      <c r="AQ80" s="7"/>
      <c r="AR80" s="7">
        <v>537299</v>
      </c>
      <c r="AS80" s="8"/>
      <c r="AT80" s="7">
        <v>24585</v>
      </c>
      <c r="AU80" s="8"/>
      <c r="AV80" s="7">
        <v>211806</v>
      </c>
      <c r="AW80" s="8"/>
      <c r="AX80" s="7">
        <v>0</v>
      </c>
      <c r="AY80" s="8"/>
      <c r="AZ80" s="7">
        <v>329522</v>
      </c>
      <c r="BA80" s="8"/>
      <c r="BB80" s="7">
        <v>948</v>
      </c>
      <c r="BC80" s="8"/>
      <c r="BD80" s="7">
        <v>338211</v>
      </c>
      <c r="BE80" s="8"/>
      <c r="BF80" s="7">
        <v>1442026</v>
      </c>
      <c r="BG80" s="8"/>
      <c r="BH80" s="7">
        <v>0</v>
      </c>
      <c r="BI80" s="8"/>
      <c r="BJ80" s="7">
        <v>0</v>
      </c>
      <c r="BK80" s="8"/>
      <c r="BL80" s="7">
        <v>0</v>
      </c>
      <c r="BM80" s="8"/>
      <c r="BN80" s="7">
        <v>38085</v>
      </c>
      <c r="BO80" s="8"/>
      <c r="BP80" s="7">
        <v>74294</v>
      </c>
      <c r="BQ80" s="8"/>
      <c r="BR80" s="7">
        <v>88794</v>
      </c>
      <c r="BS80" s="8"/>
      <c r="BT80" s="7">
        <v>0</v>
      </c>
      <c r="BU80" s="8"/>
      <c r="BV80" s="7">
        <v>0</v>
      </c>
      <c r="BW80" s="8"/>
      <c r="BX80" s="7">
        <v>0</v>
      </c>
      <c r="BY80" s="8"/>
      <c r="BZ80" s="7">
        <v>0</v>
      </c>
      <c r="CA80" s="8"/>
      <c r="CB80" s="7">
        <v>66810</v>
      </c>
      <c r="CC80" s="8"/>
      <c r="CD80" s="7">
        <v>783151</v>
      </c>
      <c r="CE80" s="8"/>
      <c r="CF80" s="7">
        <v>0</v>
      </c>
      <c r="CG80" s="8"/>
      <c r="CH80" s="7">
        <v>0</v>
      </c>
      <c r="CI80" s="8"/>
      <c r="CJ80" s="7">
        <v>0</v>
      </c>
      <c r="CK80" s="8"/>
      <c r="CL80" s="7">
        <v>0</v>
      </c>
      <c r="CM80" s="8"/>
      <c r="CN80" s="7">
        <v>0</v>
      </c>
      <c r="CO80" s="8"/>
      <c r="CP80" s="7">
        <v>0</v>
      </c>
      <c r="CR80" s="7">
        <v>0</v>
      </c>
      <c r="CS80" s="8"/>
      <c r="CT80" s="7">
        <v>876698</v>
      </c>
      <c r="CU80" s="8"/>
      <c r="CV80" s="7">
        <v>121673</v>
      </c>
      <c r="CX80" s="7">
        <v>0</v>
      </c>
      <c r="CZ80" s="7">
        <v>52847</v>
      </c>
      <c r="DA80" s="9"/>
      <c r="DB80" s="7">
        <v>0</v>
      </c>
      <c r="DC80" s="8"/>
    </row>
    <row r="81" spans="2:107">
      <c r="B81" s="8" t="s">
        <v>53</v>
      </c>
      <c r="C81" s="8"/>
      <c r="D81" s="7"/>
      <c r="E81" s="8"/>
      <c r="F81" s="7"/>
      <c r="G81" s="8"/>
      <c r="H81" s="7"/>
      <c r="I81" s="8"/>
      <c r="J81" s="7">
        <v>0</v>
      </c>
      <c r="K81" s="8"/>
      <c r="L81" s="7">
        <v>0</v>
      </c>
      <c r="M81" s="8"/>
      <c r="N81" s="7">
        <v>0</v>
      </c>
      <c r="O81" s="8"/>
      <c r="P81" s="7">
        <v>0</v>
      </c>
      <c r="Q81" s="8"/>
      <c r="R81" s="7">
        <v>0</v>
      </c>
      <c r="S81" s="8"/>
      <c r="T81" s="7">
        <v>0</v>
      </c>
      <c r="U81" s="8"/>
      <c r="V81" s="7">
        <v>84617</v>
      </c>
      <c r="W81" s="8"/>
      <c r="X81" s="7">
        <v>84617</v>
      </c>
      <c r="Y81" s="8"/>
      <c r="Z81" s="7">
        <v>84617</v>
      </c>
      <c r="AA81" s="8"/>
      <c r="AB81" s="7">
        <v>84617</v>
      </c>
      <c r="AC81" s="8"/>
      <c r="AD81" s="7">
        <v>84617</v>
      </c>
      <c r="AE81" s="8"/>
      <c r="AF81" s="7">
        <v>84617</v>
      </c>
      <c r="AG81" s="8"/>
      <c r="AH81" s="7">
        <v>84617</v>
      </c>
      <c r="AI81" s="8"/>
      <c r="AJ81" s="7">
        <v>84617</v>
      </c>
      <c r="AK81" s="8"/>
      <c r="AL81" s="7">
        <v>84617</v>
      </c>
      <c r="AM81" s="8"/>
      <c r="AN81" s="7">
        <v>84617</v>
      </c>
      <c r="AO81" s="8"/>
      <c r="AP81" s="7">
        <v>84617</v>
      </c>
      <c r="AQ81" s="7"/>
      <c r="AR81" s="7">
        <v>84617</v>
      </c>
      <c r="AS81" s="8"/>
      <c r="AT81" s="7">
        <v>84617</v>
      </c>
      <c r="AU81" s="8"/>
      <c r="AV81" s="7">
        <v>84617</v>
      </c>
      <c r="AW81" s="8"/>
      <c r="AX81" s="7">
        <v>84617</v>
      </c>
      <c r="AY81" s="8"/>
      <c r="AZ81" s="7">
        <v>84617</v>
      </c>
      <c r="BA81" s="8"/>
      <c r="BB81" s="7">
        <v>84617</v>
      </c>
      <c r="BC81" s="8"/>
      <c r="BD81" s="7">
        <v>84617</v>
      </c>
      <c r="BE81" s="8"/>
      <c r="BF81" s="7">
        <v>84617</v>
      </c>
      <c r="BG81" s="8"/>
      <c r="BH81" s="7">
        <v>84617</v>
      </c>
      <c r="BI81" s="8"/>
      <c r="BJ81" s="7">
        <v>84617</v>
      </c>
      <c r="BK81" s="8"/>
      <c r="BL81" s="7">
        <v>84617</v>
      </c>
      <c r="BM81" s="8"/>
      <c r="BN81" s="7">
        <v>84617</v>
      </c>
      <c r="BO81" s="8"/>
      <c r="BP81" s="7">
        <v>84617</v>
      </c>
      <c r="BQ81" s="8"/>
      <c r="BR81" s="7">
        <v>84617</v>
      </c>
      <c r="BS81" s="8"/>
      <c r="BT81" s="7">
        <v>84617</v>
      </c>
      <c r="BU81" s="8"/>
      <c r="BV81" s="7">
        <v>92339</v>
      </c>
      <c r="BW81" s="8"/>
      <c r="BX81" s="7">
        <v>80000</v>
      </c>
      <c r="BY81" s="8"/>
      <c r="BZ81" s="7">
        <v>80000</v>
      </c>
      <c r="CA81" s="8"/>
      <c r="CB81" s="7">
        <v>80000</v>
      </c>
      <c r="CC81" s="8"/>
      <c r="CD81" s="7">
        <v>80000</v>
      </c>
      <c r="CE81" s="8"/>
      <c r="CF81" s="7">
        <v>0</v>
      </c>
      <c r="CG81" s="8"/>
      <c r="CH81" s="7">
        <v>0</v>
      </c>
      <c r="CI81" s="8"/>
      <c r="CJ81" s="7">
        <v>0</v>
      </c>
      <c r="CK81" s="8"/>
      <c r="CL81" s="7">
        <v>0</v>
      </c>
      <c r="CM81" s="8"/>
      <c r="CN81" s="7">
        <v>49051.88</v>
      </c>
      <c r="CO81" s="8"/>
      <c r="CP81" s="7">
        <v>49051.88</v>
      </c>
      <c r="CR81" s="7">
        <v>49051.88</v>
      </c>
      <c r="CS81" s="8"/>
      <c r="CT81" s="7">
        <v>0</v>
      </c>
      <c r="CU81" s="8"/>
      <c r="CV81" s="7">
        <v>0</v>
      </c>
      <c r="CX81" s="7">
        <v>0</v>
      </c>
      <c r="CZ81" s="7">
        <v>0</v>
      </c>
      <c r="DA81" s="9"/>
      <c r="DB81" s="7">
        <v>0</v>
      </c>
      <c r="DC81" s="8"/>
    </row>
    <row r="82" spans="2:107">
      <c r="B82" s="9" t="s">
        <v>47</v>
      </c>
      <c r="C82" s="9"/>
      <c r="D82" s="7"/>
      <c r="E82" s="9"/>
      <c r="F82" s="7"/>
      <c r="G82" s="9"/>
      <c r="H82" s="7"/>
      <c r="I82" s="9"/>
      <c r="J82" s="7">
        <v>32900016.299999993</v>
      </c>
      <c r="K82" s="9"/>
      <c r="L82" s="7">
        <v>30069269.572700001</v>
      </c>
      <c r="M82" s="9"/>
      <c r="N82" s="7">
        <v>39014065.184968002</v>
      </c>
      <c r="O82" s="9"/>
      <c r="P82" s="7">
        <v>33522901.809900001</v>
      </c>
      <c r="Q82" s="9"/>
      <c r="R82" s="7">
        <v>21153694.473887</v>
      </c>
      <c r="S82" s="9"/>
      <c r="T82" s="7">
        <v>12573675.392093446</v>
      </c>
      <c r="U82" s="9"/>
      <c r="V82" s="7">
        <v>10932398.592335721</v>
      </c>
      <c r="W82" s="9"/>
      <c r="X82" s="7">
        <v>6429831.4005059097</v>
      </c>
      <c r="Y82" s="9"/>
      <c r="Z82" s="7">
        <v>16885622.233521853</v>
      </c>
      <c r="AA82" s="9"/>
      <c r="AB82" s="7">
        <v>7449173.6335638026</v>
      </c>
      <c r="AC82" s="9"/>
      <c r="AD82" s="7">
        <v>7044630.2384140836</v>
      </c>
      <c r="AE82" s="9"/>
      <c r="AF82" s="7">
        <v>5815740.4340821179</v>
      </c>
      <c r="AG82" s="9"/>
      <c r="AH82" s="7">
        <v>2694833.62</v>
      </c>
      <c r="AI82" s="9"/>
      <c r="AJ82" s="7">
        <v>2644165.0499999998</v>
      </c>
      <c r="AK82" s="9"/>
      <c r="AL82" s="7">
        <v>2805677.24</v>
      </c>
      <c r="AM82" s="9"/>
      <c r="AN82" s="7">
        <v>2346173.9000000004</v>
      </c>
      <c r="AO82" s="9"/>
      <c r="AP82" s="7">
        <v>2031843.25</v>
      </c>
      <c r="AQ82" s="7"/>
      <c r="AR82" s="7">
        <v>1879509.8399999999</v>
      </c>
      <c r="AS82" s="9"/>
      <c r="AT82" s="7">
        <v>3838231.57</v>
      </c>
      <c r="AU82" s="9"/>
      <c r="AV82" s="7">
        <v>2922087.04</v>
      </c>
      <c r="AW82" s="9"/>
      <c r="AX82" s="7">
        <v>3130132.05</v>
      </c>
      <c r="AY82" s="9"/>
      <c r="AZ82" s="7">
        <v>2705022.17</v>
      </c>
      <c r="BA82" s="9"/>
      <c r="BB82" s="7">
        <v>1588355.19</v>
      </c>
      <c r="BC82" s="9"/>
      <c r="BD82" s="7">
        <v>1444912.31</v>
      </c>
      <c r="BE82" s="9"/>
      <c r="BF82" s="7">
        <v>1694794.6400000001</v>
      </c>
      <c r="BG82" s="9"/>
      <c r="BH82" s="7">
        <v>624598.32999999996</v>
      </c>
      <c r="BI82" s="9"/>
      <c r="BJ82" s="7">
        <v>512892.11</v>
      </c>
      <c r="BK82" s="9"/>
      <c r="BL82" s="7">
        <v>875616.62</v>
      </c>
      <c r="BM82" s="9"/>
      <c r="BN82" s="7">
        <v>1822223.08</v>
      </c>
      <c r="BO82" s="9"/>
      <c r="BP82" s="7">
        <v>1831117.07</v>
      </c>
      <c r="BQ82" s="9"/>
      <c r="BR82" s="7">
        <v>2114706.4700000002</v>
      </c>
      <c r="BS82" s="9"/>
      <c r="BT82" s="7">
        <v>1404305.16</v>
      </c>
      <c r="BU82" s="9"/>
      <c r="BV82" s="7">
        <v>1693356.03</v>
      </c>
      <c r="BW82" s="9"/>
      <c r="BX82" s="7">
        <v>2352334.1</v>
      </c>
      <c r="BY82" s="9"/>
      <c r="BZ82" s="7">
        <v>2695375.45</v>
      </c>
      <c r="CA82" s="9"/>
      <c r="CB82" s="7">
        <v>4211249.51</v>
      </c>
      <c r="CC82" s="9"/>
      <c r="CD82" s="7">
        <v>1668286.11</v>
      </c>
      <c r="CE82" s="9"/>
      <c r="CF82" s="7">
        <v>1679505.32</v>
      </c>
      <c r="CG82" s="9"/>
      <c r="CH82" s="7">
        <v>1439362.79</v>
      </c>
      <c r="CI82" s="9"/>
      <c r="CJ82" s="7">
        <v>1438645.2</v>
      </c>
      <c r="CK82" s="9"/>
      <c r="CL82" s="7">
        <v>1583729.1600000001</v>
      </c>
      <c r="CM82" s="9"/>
      <c r="CN82" s="7">
        <v>900110.82999999961</v>
      </c>
      <c r="CO82" s="9"/>
      <c r="CP82" s="7">
        <v>975376.68000000063</v>
      </c>
      <c r="CR82" s="7">
        <v>100107.58999999985</v>
      </c>
      <c r="CS82" s="9"/>
      <c r="CT82" s="7">
        <v>160586.2200000002</v>
      </c>
      <c r="CU82" s="9"/>
      <c r="CV82" s="7">
        <v>3226137.9499999997</v>
      </c>
      <c r="CX82" s="7">
        <v>4181490.59</v>
      </c>
      <c r="CZ82" s="7">
        <v>35442.52999999997</v>
      </c>
      <c r="DA82" s="9"/>
      <c r="DB82" s="7">
        <v>0</v>
      </c>
      <c r="DC82" s="9"/>
    </row>
    <row r="83" spans="2:107">
      <c r="B83" s="9"/>
      <c r="C83" s="9"/>
      <c r="D83" s="7"/>
      <c r="E83" s="9"/>
      <c r="F83" s="7"/>
      <c r="G83" s="9"/>
      <c r="H83" s="7"/>
      <c r="I83" s="9"/>
      <c r="J83" s="7"/>
      <c r="K83" s="9"/>
      <c r="L83" s="7"/>
      <c r="M83" s="9"/>
      <c r="N83" s="7"/>
      <c r="O83" s="9"/>
      <c r="P83" s="7"/>
      <c r="Q83" s="9"/>
      <c r="R83" s="7"/>
      <c r="S83" s="9"/>
      <c r="T83" s="7"/>
      <c r="U83" s="9"/>
      <c r="V83" s="7"/>
      <c r="W83" s="9"/>
      <c r="X83" s="7"/>
      <c r="Y83" s="9"/>
      <c r="Z83" s="7"/>
      <c r="AA83" s="9"/>
      <c r="AB83" s="7">
        <v>0</v>
      </c>
      <c r="AC83" s="9"/>
      <c r="AD83" s="7">
        <v>0</v>
      </c>
      <c r="AE83" s="9"/>
      <c r="AF83" s="7">
        <v>0</v>
      </c>
      <c r="AG83" s="9"/>
      <c r="AH83" s="7">
        <v>0</v>
      </c>
      <c r="AI83" s="9"/>
      <c r="AJ83" s="7">
        <v>0</v>
      </c>
      <c r="AK83" s="9"/>
      <c r="AL83" s="7">
        <v>0</v>
      </c>
      <c r="AM83" s="9"/>
      <c r="AN83" s="7">
        <v>0</v>
      </c>
      <c r="AO83" s="9"/>
      <c r="AP83" s="7"/>
      <c r="AQ83" s="7"/>
      <c r="AR83" s="7">
        <v>0</v>
      </c>
      <c r="AS83" s="9"/>
      <c r="AT83" s="7">
        <v>0</v>
      </c>
      <c r="AU83" s="9"/>
      <c r="AV83" s="7">
        <v>0</v>
      </c>
      <c r="AW83" s="9"/>
      <c r="AX83" s="7">
        <v>0</v>
      </c>
      <c r="AY83" s="9"/>
      <c r="AZ83" s="7"/>
      <c r="BA83" s="9"/>
      <c r="BB83" s="7">
        <v>0</v>
      </c>
      <c r="BC83" s="9"/>
      <c r="BD83" s="7">
        <v>0</v>
      </c>
      <c r="BE83" s="9"/>
      <c r="BF83" s="18"/>
      <c r="BG83" s="9"/>
      <c r="BH83" s="7">
        <v>0</v>
      </c>
      <c r="BI83" s="9"/>
      <c r="BJ83" s="7">
        <v>0</v>
      </c>
      <c r="BK83" s="9"/>
      <c r="BL83" s="18"/>
      <c r="BM83" s="9"/>
      <c r="BN83" s="7">
        <v>0</v>
      </c>
      <c r="BO83" s="9"/>
      <c r="BP83" s="7">
        <v>0</v>
      </c>
      <c r="BQ83" s="9"/>
      <c r="BR83" s="7"/>
      <c r="BS83" s="9"/>
      <c r="BT83" s="7"/>
      <c r="BU83" s="9"/>
      <c r="BV83" s="18"/>
      <c r="BW83" s="9"/>
      <c r="BX83" s="18"/>
      <c r="BY83" s="9"/>
      <c r="BZ83" s="18"/>
      <c r="CA83" s="9"/>
      <c r="CB83" s="18"/>
      <c r="CC83" s="9"/>
      <c r="CD83" s="18"/>
      <c r="CE83" s="9"/>
      <c r="CF83" s="18"/>
      <c r="CG83" s="9"/>
      <c r="CH83" s="18"/>
      <c r="CI83" s="9"/>
      <c r="CJ83" s="18"/>
      <c r="CK83" s="9"/>
      <c r="CL83" s="18"/>
      <c r="CM83" s="9"/>
      <c r="CN83" s="18"/>
      <c r="CO83" s="9"/>
      <c r="CP83" s="18"/>
      <c r="CQ83" s="25"/>
      <c r="CR83" s="18"/>
      <c r="CS83" s="9"/>
      <c r="CT83" s="7"/>
      <c r="CU83" s="9"/>
      <c r="CV83" s="18"/>
      <c r="CW83" s="25"/>
      <c r="CX83" s="18"/>
      <c r="CY83" s="25"/>
      <c r="CZ83" s="7"/>
      <c r="DA83" s="9"/>
      <c r="DB83" s="7"/>
      <c r="DC83" s="9"/>
    </row>
    <row r="84" spans="2:107" ht="18">
      <c r="B84" s="9" t="s">
        <v>54</v>
      </c>
      <c r="C84" s="9"/>
      <c r="D84" s="7"/>
      <c r="E84" s="9"/>
      <c r="F84" s="7"/>
      <c r="G84" s="9"/>
      <c r="H84" s="7"/>
      <c r="I84" s="9"/>
      <c r="J84" s="7">
        <v>0</v>
      </c>
      <c r="K84" s="9"/>
      <c r="L84" s="7">
        <v>0</v>
      </c>
      <c r="M84" s="9"/>
      <c r="N84" s="7">
        <v>0</v>
      </c>
      <c r="O84" s="9"/>
      <c r="P84" s="7">
        <v>0</v>
      </c>
      <c r="Q84" s="9"/>
      <c r="R84" s="7">
        <v>0</v>
      </c>
      <c r="S84" s="9"/>
      <c r="T84" s="7">
        <v>0</v>
      </c>
      <c r="U84" s="9"/>
      <c r="V84" s="7">
        <v>0</v>
      </c>
      <c r="W84" s="9"/>
      <c r="X84" s="7">
        <v>0</v>
      </c>
      <c r="Y84" s="9"/>
      <c r="Z84" s="7"/>
      <c r="AA84" s="9"/>
      <c r="AB84" s="7">
        <v>0</v>
      </c>
      <c r="AC84" s="9"/>
      <c r="AD84" s="7">
        <v>0</v>
      </c>
      <c r="AE84" s="9"/>
      <c r="AF84" s="7">
        <v>0</v>
      </c>
      <c r="AG84" s="9"/>
      <c r="AH84" s="7">
        <v>0</v>
      </c>
      <c r="AI84" s="9"/>
      <c r="AJ84" s="7">
        <v>0</v>
      </c>
      <c r="AK84" s="9"/>
      <c r="AL84" s="7">
        <v>0</v>
      </c>
      <c r="AM84" s="9"/>
      <c r="AN84" s="7">
        <v>0</v>
      </c>
      <c r="AO84" s="9"/>
      <c r="AP84" s="7">
        <v>0</v>
      </c>
      <c r="AQ84" s="7"/>
      <c r="AR84" s="7">
        <v>0</v>
      </c>
      <c r="AS84" s="9"/>
      <c r="AT84" s="7">
        <v>0</v>
      </c>
      <c r="AU84" s="9"/>
      <c r="AV84" s="7">
        <v>0</v>
      </c>
      <c r="AW84" s="9"/>
      <c r="AX84" s="7">
        <v>0</v>
      </c>
      <c r="AY84" s="9"/>
      <c r="AZ84" s="7">
        <v>0</v>
      </c>
      <c r="BA84" s="9"/>
      <c r="BB84" s="7">
        <v>0</v>
      </c>
      <c r="BC84" s="9"/>
      <c r="BD84" s="7">
        <v>0</v>
      </c>
      <c r="BE84" s="9"/>
      <c r="BF84" s="7">
        <v>0</v>
      </c>
      <c r="BG84" s="9"/>
      <c r="BH84" s="7">
        <v>0</v>
      </c>
      <c r="BI84" s="9"/>
      <c r="BJ84" s="7">
        <v>0</v>
      </c>
      <c r="BK84" s="9"/>
      <c r="BL84" s="7">
        <v>0</v>
      </c>
      <c r="BM84" s="9"/>
      <c r="BN84" s="7">
        <v>0</v>
      </c>
      <c r="BO84" s="9"/>
      <c r="BP84" s="7">
        <v>0</v>
      </c>
      <c r="BQ84" s="9"/>
      <c r="BR84" s="7">
        <v>0</v>
      </c>
      <c r="BS84" s="9"/>
      <c r="BT84" s="7">
        <v>0</v>
      </c>
      <c r="BU84" s="9"/>
      <c r="BV84" s="7"/>
      <c r="BW84" s="9"/>
      <c r="BX84" s="7">
        <v>0</v>
      </c>
      <c r="BY84" s="9"/>
      <c r="BZ84" s="7"/>
      <c r="CA84" s="9"/>
      <c r="CB84" s="7"/>
      <c r="CC84" s="9"/>
      <c r="CD84" s="7"/>
      <c r="CE84" s="9"/>
      <c r="CF84" s="7">
        <v>0</v>
      </c>
      <c r="CG84" s="9"/>
      <c r="CH84" s="7">
        <v>0</v>
      </c>
      <c r="CI84" s="9"/>
      <c r="CJ84" s="7">
        <v>0</v>
      </c>
      <c r="CK84" s="9"/>
      <c r="CL84" s="7"/>
      <c r="CM84" s="9"/>
      <c r="CN84" s="7">
        <v>0</v>
      </c>
      <c r="CO84" s="9"/>
      <c r="CP84" s="7">
        <v>0</v>
      </c>
      <c r="CQ84" s="8"/>
      <c r="CR84" s="7">
        <v>0</v>
      </c>
      <c r="CS84" s="9"/>
      <c r="CT84" s="7">
        <v>0</v>
      </c>
      <c r="CU84" s="9"/>
      <c r="CV84" s="7">
        <v>0</v>
      </c>
      <c r="CW84" s="8"/>
      <c r="CX84" s="7">
        <v>0</v>
      </c>
      <c r="CY84" s="8"/>
      <c r="CZ84" s="7">
        <v>0</v>
      </c>
      <c r="DA84" s="9"/>
      <c r="DB84" s="7">
        <v>0</v>
      </c>
      <c r="DC84" s="9"/>
    </row>
    <row r="85" spans="2:107">
      <c r="B85" s="19"/>
      <c r="C85" s="19"/>
      <c r="D85" s="18"/>
      <c r="E85" s="19"/>
      <c r="F85" s="18"/>
      <c r="G85" s="19"/>
      <c r="H85" s="18"/>
      <c r="I85" s="19"/>
      <c r="J85" s="18"/>
      <c r="K85" s="19"/>
      <c r="L85" s="18"/>
      <c r="M85" s="19"/>
      <c r="N85" s="18"/>
      <c r="O85" s="19"/>
      <c r="P85" s="18"/>
      <c r="Q85" s="19"/>
      <c r="R85" s="18"/>
      <c r="S85" s="19"/>
      <c r="T85" s="18"/>
      <c r="U85" s="19"/>
      <c r="V85" s="18"/>
      <c r="W85" s="19"/>
      <c r="X85" s="18"/>
      <c r="Y85" s="19"/>
      <c r="Z85" s="18"/>
      <c r="AA85" s="19"/>
      <c r="AB85" s="18"/>
      <c r="AC85" s="19"/>
      <c r="AD85" s="18"/>
      <c r="AE85" s="19"/>
      <c r="AF85" s="18"/>
      <c r="AG85" s="19"/>
      <c r="AH85" s="18"/>
      <c r="AI85" s="19"/>
      <c r="AJ85" s="18"/>
      <c r="AK85" s="19"/>
      <c r="AL85" s="18"/>
      <c r="AM85" s="19"/>
      <c r="AN85" s="18"/>
      <c r="AO85" s="19"/>
      <c r="AP85" s="18"/>
      <c r="AQ85" s="18"/>
      <c r="AR85" s="18"/>
      <c r="AS85" s="19"/>
      <c r="AT85" s="18"/>
      <c r="AU85" s="19"/>
      <c r="AV85" s="18"/>
      <c r="AW85" s="19"/>
      <c r="AX85" s="18"/>
      <c r="AY85" s="19"/>
      <c r="AZ85" s="18"/>
      <c r="BA85" s="19"/>
      <c r="BB85" s="18"/>
      <c r="BC85" s="19"/>
      <c r="BD85" s="18"/>
      <c r="BE85" s="19"/>
      <c r="BF85" s="18"/>
      <c r="BG85" s="19"/>
      <c r="BH85" s="18"/>
      <c r="BI85" s="19"/>
      <c r="BJ85" s="18"/>
      <c r="BK85" s="19"/>
      <c r="BL85" s="18"/>
      <c r="BM85" s="19"/>
      <c r="BN85" s="18"/>
      <c r="BO85" s="19"/>
      <c r="BP85" s="18"/>
      <c r="BQ85" s="19"/>
      <c r="BR85" s="18"/>
      <c r="BS85" s="19"/>
      <c r="BT85" s="18"/>
      <c r="BU85" s="19"/>
      <c r="BV85" s="18"/>
      <c r="BW85" s="19"/>
      <c r="BX85" s="18"/>
      <c r="BY85" s="19"/>
      <c r="BZ85" s="18"/>
      <c r="CA85" s="19"/>
      <c r="CB85" s="18"/>
      <c r="CC85" s="19"/>
      <c r="CD85" s="18"/>
      <c r="CE85" s="19"/>
      <c r="CF85" s="18"/>
      <c r="CG85" s="19"/>
      <c r="CH85" s="18"/>
      <c r="CI85" s="19"/>
      <c r="CJ85" s="18"/>
      <c r="CK85" s="19"/>
      <c r="CL85" s="18"/>
      <c r="CM85" s="19"/>
      <c r="CN85" s="18"/>
      <c r="CO85" s="19"/>
      <c r="CP85" s="18"/>
      <c r="CQ85" s="8"/>
      <c r="CR85" s="18"/>
      <c r="CS85" s="19"/>
      <c r="CT85" s="18"/>
      <c r="CU85" s="19"/>
      <c r="CV85" s="18"/>
      <c r="CW85" s="8"/>
      <c r="CX85" s="18"/>
      <c r="CY85" s="8"/>
      <c r="CZ85" s="18"/>
      <c r="DA85" s="19"/>
      <c r="DB85" s="18"/>
      <c r="DC85" s="19"/>
    </row>
    <row r="86" spans="2:107">
      <c r="B86" s="6" t="s">
        <v>55</v>
      </c>
      <c r="C86" s="6"/>
      <c r="D86" s="11"/>
      <c r="E86" s="6"/>
      <c r="F86" s="11"/>
      <c r="G86" s="6"/>
      <c r="H86" s="11"/>
      <c r="I86" s="6"/>
      <c r="J86" s="11">
        <f>SUM(J73:J84)</f>
        <v>209255098.23999873</v>
      </c>
      <c r="K86" s="6"/>
      <c r="L86" s="11">
        <f>SUM(L73:L84)</f>
        <v>134651463.96239045</v>
      </c>
      <c r="M86" s="6"/>
      <c r="N86" s="11">
        <f>SUM(N73:N84)</f>
        <v>137054518.12616399</v>
      </c>
      <c r="O86" s="6"/>
      <c r="P86" s="11">
        <f>SUM(P73:P84)</f>
        <v>126064859.43165685</v>
      </c>
      <c r="Q86" s="6"/>
      <c r="R86" s="11">
        <f>SUM(R73:R84)</f>
        <v>189790916.21401516</v>
      </c>
      <c r="S86" s="6"/>
      <c r="T86" s="11">
        <f>SUM(T73:T84)</f>
        <v>118233328.25749195</v>
      </c>
      <c r="U86" s="6"/>
      <c r="V86" s="11">
        <f>SUM(V73:V84)</f>
        <v>91799473.631650835</v>
      </c>
      <c r="W86" s="6"/>
      <c r="X86" s="11">
        <f>SUM(X73:X84)</f>
        <v>92414086.872070551</v>
      </c>
      <c r="Y86" s="6"/>
      <c r="Z86" s="11">
        <f>SUM(Z73:Z84)</f>
        <v>87135670.478775382</v>
      </c>
      <c r="AA86" s="6"/>
      <c r="AB86" s="11">
        <f>SUM(AB73:AB84)</f>
        <v>104907576.15441185</v>
      </c>
      <c r="AC86" s="6"/>
      <c r="AD86" s="11">
        <f>SUM(AD73:AD84)</f>
        <v>71433490.48998633</v>
      </c>
      <c r="AE86" s="6"/>
      <c r="AF86" s="11">
        <f>SUM(AF73:AF84)</f>
        <v>71592402.314198643</v>
      </c>
      <c r="AG86" s="6"/>
      <c r="AH86" s="11">
        <f>SUM(AH73:AH84)</f>
        <v>56481924.546725437</v>
      </c>
      <c r="AI86" s="6"/>
      <c r="AJ86" s="11">
        <f>SUM(AJ73:AJ84)</f>
        <v>55034274.020000003</v>
      </c>
      <c r="AK86" s="6"/>
      <c r="AL86" s="11">
        <f>SUM(AL73:AL84)</f>
        <v>33916871.916245282</v>
      </c>
      <c r="AM86" s="6"/>
      <c r="AN86" s="11">
        <f>SUM(AN73:AN84)</f>
        <v>30333053.14796979</v>
      </c>
      <c r="AO86" s="6"/>
      <c r="AP86" s="11">
        <f>SUM(AP73:AP84)</f>
        <v>34362581.794538483</v>
      </c>
      <c r="AQ86" s="11"/>
      <c r="AR86" s="11">
        <f>SUM(AR73:AR84)</f>
        <v>36474322.917489752</v>
      </c>
      <c r="AS86" s="6"/>
      <c r="AT86" s="11">
        <f>SUM(AT73:AT84)</f>
        <v>24257870.203965541</v>
      </c>
      <c r="AU86" s="6"/>
      <c r="AV86" s="11">
        <f>SUM(AV73:AV75,AV79:AV82,AV84)</f>
        <v>45326291.074900851</v>
      </c>
      <c r="AW86" s="6"/>
      <c r="AX86" s="11">
        <f>SUM(AX73:AX75,AX79:AX82,AX84)</f>
        <v>52430077.860573255</v>
      </c>
      <c r="AY86" s="6"/>
      <c r="AZ86" s="11">
        <f>SUM(AZ73:AZ75,AZ79:AZ82,AZ84)</f>
        <v>34084973.259999998</v>
      </c>
      <c r="BA86" s="6"/>
      <c r="BB86" s="11">
        <f>SUM(BB73:BB75,BB79:BB82,BB84)</f>
        <v>22793161.879999999</v>
      </c>
      <c r="BC86" s="6"/>
      <c r="BD86" s="11">
        <f>SUM(BD73:BD75,BD79:BD82,BD84)</f>
        <v>34048877.440000005</v>
      </c>
      <c r="BE86" s="6"/>
      <c r="BF86" s="11">
        <f>SUM(BF73:BF75,BF79:BF82,BF84)</f>
        <v>51375680.630000003</v>
      </c>
      <c r="BG86" s="6"/>
      <c r="BH86" s="11">
        <f>SUM(BH73:BH75,BH79:BH82,BH84)</f>
        <v>30169457.039999999</v>
      </c>
      <c r="BI86" s="6"/>
      <c r="BJ86" s="11">
        <f>SUM(BJ73:BJ75,BJ79:BJ82,BJ84)</f>
        <v>18661815.699999999</v>
      </c>
      <c r="BK86" s="6"/>
      <c r="BL86" s="11">
        <f>SUM(BL73:BL75,BL79:BL82,BL84)</f>
        <v>19584135.609999999</v>
      </c>
      <c r="BM86" s="6"/>
      <c r="BN86" s="11">
        <f>SUM(BN73:BN75,BN79:BN82,BN84)</f>
        <v>37942021.749999993</v>
      </c>
      <c r="BO86" s="6"/>
      <c r="BP86" s="11">
        <f>SUM(BP73:BP75,BP79:BP82,BP84)</f>
        <v>23255977.189999998</v>
      </c>
      <c r="BQ86" s="6"/>
      <c r="BR86" s="11">
        <f>SUM(BR73:BR75,BR79:BR82,BR84)</f>
        <v>19965618.359999999</v>
      </c>
      <c r="BS86" s="6"/>
      <c r="BT86" s="11">
        <f>SUM(BT73:BT75,BT79:BT82,BT84)</f>
        <v>17290153.98</v>
      </c>
      <c r="BU86" s="6"/>
      <c r="BV86" s="11">
        <f>SUM(BV73:BV75,BV79:BV82,BV84)</f>
        <v>21112548.930000003</v>
      </c>
      <c r="BW86" s="6"/>
      <c r="BX86" s="11">
        <f>SUM(BX73:BX75,BX79:BX82,BX84)</f>
        <v>23413860.330000006</v>
      </c>
      <c r="BY86" s="6"/>
      <c r="BZ86" s="11">
        <f>SUM(BZ73:BZ75,BZ79:BZ82,BZ84)</f>
        <v>19903418.419999994</v>
      </c>
      <c r="CA86" s="6"/>
      <c r="CB86" s="11">
        <f>SUM(CB73:CB75,CB79:CB82,CB84)</f>
        <v>18332791.919999998</v>
      </c>
      <c r="CC86" s="6"/>
      <c r="CD86" s="11">
        <f>SUM(CD73:CD75,CD79:CD82,CD84)</f>
        <v>36144114.809999995</v>
      </c>
      <c r="CE86" s="6"/>
      <c r="CF86" s="11">
        <f>SUM(CF73:CF75,CF79:CF82,CF84)</f>
        <v>38672571.940000005</v>
      </c>
      <c r="CG86" s="6"/>
      <c r="CH86" s="11">
        <f>SUM(CH73:CH75,CH79:CH82,CH84)</f>
        <v>12746985.010000002</v>
      </c>
      <c r="CI86" s="6"/>
      <c r="CJ86" s="11">
        <f>SUM(CJ73:CJ75,CJ79:CJ82,CJ84)</f>
        <v>21646630.360000003</v>
      </c>
      <c r="CK86" s="6"/>
      <c r="CL86" s="11">
        <f>SUM(CL73:CL75,CL79:CL82,CL84)</f>
        <v>34344959.370000005</v>
      </c>
      <c r="CM86" s="6"/>
      <c r="CN86" s="11">
        <f>SUM(CN73:CN75,CN79:CN82,CN84)</f>
        <v>30858867.327043843</v>
      </c>
      <c r="CO86" s="6"/>
      <c r="CP86" s="11">
        <f>SUM(CP73:CP75,CP79:CP82,CP84)</f>
        <v>24253281.893249933</v>
      </c>
      <c r="CQ86" s="26"/>
      <c r="CR86" s="11">
        <f>SUM(CR73:CR75,CR79:CR82,CR84)</f>
        <v>20187610.021043912</v>
      </c>
      <c r="CS86" s="6"/>
      <c r="CT86" s="11">
        <f>SUM(CT73:CT75,CT79:CT82,CT84)</f>
        <v>33894233.594279714</v>
      </c>
      <c r="CU86" s="6"/>
      <c r="CV86" s="11">
        <f>SUM(CV73:CV75,CV79:CV82,CV84)</f>
        <v>39106099.797002532</v>
      </c>
      <c r="CW86" s="26"/>
      <c r="CX86" s="11">
        <f>SUM(CX73:CX75,CX79:CX82,CX84)</f>
        <v>21114992.973139048</v>
      </c>
      <c r="CY86" s="26"/>
      <c r="CZ86" s="11">
        <f>SUM(CZ73:CZ75,CZ79:CZ82,CZ84)</f>
        <v>34505263.618942127</v>
      </c>
      <c r="DA86" s="6"/>
      <c r="DB86" s="11">
        <f>SUM(DB73:DB75,DB79:DB82,DB84)</f>
        <v>19497699.287474919</v>
      </c>
      <c r="DC86" s="6"/>
    </row>
    <row r="87" spans="2:107">
      <c r="B87" s="6"/>
      <c r="C87" s="6"/>
      <c r="D87" s="18"/>
      <c r="E87" s="6"/>
      <c r="F87" s="18"/>
      <c r="G87" s="6"/>
      <c r="H87" s="18"/>
      <c r="I87" s="6"/>
      <c r="J87" s="18"/>
      <c r="K87" s="6"/>
      <c r="L87" s="18"/>
      <c r="M87" s="6"/>
      <c r="N87" s="18"/>
      <c r="O87" s="6"/>
      <c r="P87" s="18"/>
      <c r="Q87" s="6"/>
      <c r="R87" s="18"/>
      <c r="S87" s="6"/>
      <c r="T87" s="18"/>
      <c r="U87" s="6"/>
      <c r="V87" s="18"/>
      <c r="W87" s="6"/>
      <c r="X87" s="18"/>
      <c r="Y87" s="6"/>
      <c r="Z87" s="18"/>
      <c r="AA87" s="6"/>
      <c r="AB87" s="18"/>
      <c r="AC87" s="6"/>
      <c r="AD87" s="18"/>
      <c r="AE87" s="6"/>
      <c r="AF87" s="18"/>
      <c r="AG87" s="6"/>
      <c r="AH87" s="18"/>
      <c r="AI87" s="6"/>
      <c r="AJ87" s="18"/>
      <c r="AK87" s="6"/>
      <c r="AL87" s="18"/>
      <c r="AM87" s="6"/>
      <c r="AN87" s="18"/>
      <c r="AO87" s="6"/>
      <c r="AP87" s="18"/>
      <c r="AQ87" s="18"/>
      <c r="AR87" s="18"/>
      <c r="AS87" s="6"/>
      <c r="AT87" s="18"/>
      <c r="AU87" s="6"/>
      <c r="AV87" s="18"/>
      <c r="AW87" s="6"/>
      <c r="AX87" s="18"/>
      <c r="AY87" s="6"/>
      <c r="AZ87" s="18"/>
      <c r="BA87" s="6"/>
      <c r="BB87" s="18"/>
      <c r="BC87" s="6"/>
      <c r="BD87" s="18"/>
      <c r="BE87" s="6"/>
      <c r="BF87" s="18"/>
      <c r="BG87" s="6"/>
      <c r="BH87" s="18"/>
      <c r="BI87" s="6"/>
      <c r="BJ87" s="18"/>
      <c r="BK87" s="6"/>
      <c r="BL87" s="18"/>
      <c r="BM87" s="6"/>
      <c r="BN87" s="18"/>
      <c r="BO87" s="6"/>
      <c r="BP87" s="18"/>
      <c r="BQ87" s="6"/>
      <c r="BR87" s="18"/>
      <c r="BS87" s="6"/>
      <c r="BT87" s="18"/>
      <c r="BU87" s="6"/>
      <c r="BV87" s="18"/>
      <c r="BW87" s="6"/>
      <c r="BX87" s="18"/>
      <c r="BY87" s="6"/>
      <c r="BZ87" s="18"/>
      <c r="CA87" s="6"/>
      <c r="CB87" s="18"/>
      <c r="CC87" s="6"/>
      <c r="CD87" s="18"/>
      <c r="CE87" s="6"/>
      <c r="CF87" s="18"/>
      <c r="CG87" s="6"/>
      <c r="CH87" s="18"/>
      <c r="CI87" s="6"/>
      <c r="CJ87" s="18"/>
      <c r="CK87" s="6"/>
      <c r="CL87" s="18"/>
      <c r="CM87" s="6"/>
      <c r="CN87" s="18"/>
      <c r="CO87" s="6"/>
      <c r="CP87" s="18"/>
      <c r="CQ87" s="25"/>
      <c r="CR87" s="18"/>
      <c r="CS87" s="6"/>
      <c r="CT87" s="18"/>
      <c r="CU87" s="6"/>
      <c r="CV87" s="18"/>
      <c r="CW87" s="25"/>
      <c r="CX87" s="18"/>
      <c r="CY87" s="25"/>
      <c r="CZ87" s="18"/>
      <c r="DA87" s="6"/>
      <c r="DB87" s="18"/>
      <c r="DC87" s="6"/>
    </row>
    <row r="88" spans="2:107">
      <c r="B88" s="6" t="s">
        <v>56</v>
      </c>
      <c r="C88" s="6"/>
      <c r="D88" s="21"/>
      <c r="E88" s="6"/>
      <c r="F88" s="21"/>
      <c r="G88" s="6"/>
      <c r="H88" s="21"/>
      <c r="I88" s="6"/>
      <c r="J88" s="21">
        <f>J70+J86</f>
        <v>261855965.03122848</v>
      </c>
      <c r="K88" s="6"/>
      <c r="L88" s="21">
        <f>L70+L86</f>
        <v>185234467.83915105</v>
      </c>
      <c r="M88" s="6"/>
      <c r="N88" s="21">
        <f>N70+N86</f>
        <v>179199618.56662858</v>
      </c>
      <c r="O88" s="6"/>
      <c r="P88" s="21">
        <f>P70+P86</f>
        <v>168175496.16493917</v>
      </c>
      <c r="Q88" s="6"/>
      <c r="R88" s="21">
        <f>R70+R86</f>
        <v>228692486.17420709</v>
      </c>
      <c r="S88" s="6"/>
      <c r="T88" s="21">
        <f>T70+T86</f>
        <v>165714348.04379514</v>
      </c>
      <c r="U88" s="6"/>
      <c r="V88" s="21">
        <f>V70+V86</f>
        <v>142029935.22568005</v>
      </c>
      <c r="W88" s="6"/>
      <c r="X88" s="21">
        <f>X70+X86</f>
        <v>134806440.08605874</v>
      </c>
      <c r="Y88" s="6"/>
      <c r="Z88" s="21">
        <f>Z70+Z86</f>
        <v>127642003.2308847</v>
      </c>
      <c r="AA88" s="6"/>
      <c r="AB88" s="21">
        <f>AB70+AB86</f>
        <v>148634095.9117077</v>
      </c>
      <c r="AC88" s="6"/>
      <c r="AD88" s="21">
        <f>AD70+AD86</f>
        <v>117564187.14123574</v>
      </c>
      <c r="AE88" s="6"/>
      <c r="AF88" s="21">
        <f>AF70+AF86</f>
        <v>116038376.18215016</v>
      </c>
      <c r="AG88" s="6"/>
      <c r="AH88" s="21">
        <f>AH70+AH86</f>
        <v>83618191.264331684</v>
      </c>
      <c r="AI88" s="6"/>
      <c r="AJ88" s="21">
        <f>AJ70+AJ86</f>
        <v>79126802.967333347</v>
      </c>
      <c r="AK88" s="6"/>
      <c r="AL88" s="21">
        <f>AL70+AL86</f>
        <v>58299638.946556784</v>
      </c>
      <c r="AM88" s="6"/>
      <c r="AN88" s="21">
        <f>AN70+AN86</f>
        <v>56964713.162256941</v>
      </c>
      <c r="AO88" s="6"/>
      <c r="AP88" s="21">
        <f>AP70+AP86</f>
        <v>62752009.864255331</v>
      </c>
      <c r="AQ88" s="21"/>
      <c r="AR88" s="21">
        <f>AR70+AR86</f>
        <v>65617562.635356478</v>
      </c>
      <c r="AS88" s="6"/>
      <c r="AT88" s="21">
        <f>AT70+AT86</f>
        <v>47511875.486996211</v>
      </c>
      <c r="AU88" s="6"/>
      <c r="AV88" s="21">
        <f>AV70+AV86</f>
        <v>68487801.095292538</v>
      </c>
      <c r="AW88" s="6"/>
      <c r="AX88" s="21">
        <f>AX70+AX86</f>
        <v>76331342.051188067</v>
      </c>
      <c r="AY88" s="6"/>
      <c r="AZ88" s="21">
        <f>AZ70+AZ86</f>
        <v>54843494.32333333</v>
      </c>
      <c r="BA88" s="6"/>
      <c r="BB88" s="21">
        <f>BB70+BB86</f>
        <v>41861348.402833328</v>
      </c>
      <c r="BC88" s="6"/>
      <c r="BD88" s="21">
        <f>BD70+BD86</f>
        <v>51514580.55233334</v>
      </c>
      <c r="BE88" s="6"/>
      <c r="BF88" s="21">
        <f>BF70+BF86</f>
        <v>71648236.001833335</v>
      </c>
      <c r="BG88" s="6"/>
      <c r="BH88" s="21">
        <f>BH70+BH86</f>
        <v>46600686.171333335</v>
      </c>
      <c r="BI88" s="6"/>
      <c r="BJ88" s="21">
        <f>BJ70+BJ86</f>
        <v>48941393.700833336</v>
      </c>
      <c r="BK88" s="6"/>
      <c r="BL88" s="21">
        <f>BL70+BL86</f>
        <v>50040249.000333332</v>
      </c>
      <c r="BM88" s="6"/>
      <c r="BN88" s="21">
        <f>BN70+BN86</f>
        <v>53512759.029999994</v>
      </c>
      <c r="BO88" s="6"/>
      <c r="BP88" s="21">
        <f>BP70+BP86</f>
        <v>39737647.5</v>
      </c>
      <c r="BQ88" s="6"/>
      <c r="BR88" s="21">
        <f>BR70+BR86</f>
        <v>30809821.219999999</v>
      </c>
      <c r="BS88" s="6"/>
      <c r="BT88" s="21">
        <f>BT70+BT86</f>
        <v>29312566.129999999</v>
      </c>
      <c r="BU88" s="6"/>
      <c r="BV88" s="21">
        <f>BV70+BV86</f>
        <v>33812212.400000006</v>
      </c>
      <c r="BW88" s="6"/>
      <c r="BX88" s="21">
        <f>BX70+BX86</f>
        <v>36724324.74000001</v>
      </c>
      <c r="BY88" s="6"/>
      <c r="BZ88" s="21">
        <f>BZ70+BZ86</f>
        <v>33661625.419999994</v>
      </c>
      <c r="CA88" s="6"/>
      <c r="CB88" s="21">
        <f>CB70+CB86</f>
        <v>32688648.379999999</v>
      </c>
      <c r="CC88" s="6"/>
      <c r="CD88" s="21">
        <f>CD70+CD86</f>
        <v>47857406.689999998</v>
      </c>
      <c r="CE88" s="6"/>
      <c r="CF88" s="21">
        <f>CF70+CF86</f>
        <v>50620231.180000007</v>
      </c>
      <c r="CG88" s="6"/>
      <c r="CH88" s="21">
        <f>CH70+CH86</f>
        <v>24842163.25</v>
      </c>
      <c r="CI88" s="6"/>
      <c r="CJ88" s="21">
        <f>CJ70+CJ86</f>
        <v>34916706.590000004</v>
      </c>
      <c r="CK88" s="6"/>
      <c r="CL88" s="21">
        <f>CL70+CL86</f>
        <v>48464663.270000003</v>
      </c>
      <c r="CM88" s="6"/>
      <c r="CN88" s="21">
        <f>CN70+CN86</f>
        <v>46370372.082254201</v>
      </c>
      <c r="CO88" s="6"/>
      <c r="CP88" s="21">
        <f>CP70+CP86</f>
        <v>40907687.891211271</v>
      </c>
      <c r="CQ88" s="26"/>
      <c r="CR88" s="21">
        <f>CR70+CR86</f>
        <v>38041179.597007193</v>
      </c>
      <c r="CS88" s="6"/>
      <c r="CT88" s="21">
        <f>CT70+CT86</f>
        <v>47921785.271305874</v>
      </c>
      <c r="CU88" s="6"/>
      <c r="CV88" s="21">
        <f>CV70+CV86</f>
        <v>45193592.469256729</v>
      </c>
      <c r="CW88" s="26"/>
      <c r="CX88" s="21">
        <f>CX70+CX86</f>
        <v>28035545.904350322</v>
      </c>
      <c r="CY88" s="26"/>
      <c r="CZ88" s="21">
        <f>CZ70+CZ86</f>
        <v>42542655.980248012</v>
      </c>
      <c r="DA88" s="6"/>
      <c r="DB88" s="21">
        <f>DB70+DB86</f>
        <v>30234693.680889368</v>
      </c>
      <c r="DC88" s="6"/>
    </row>
    <row r="89" spans="2:107">
      <c r="B89" s="6"/>
      <c r="C89" s="6"/>
      <c r="D89" s="18"/>
      <c r="E89" s="6"/>
      <c r="F89" s="18"/>
      <c r="G89" s="6"/>
      <c r="H89" s="18"/>
      <c r="I89" s="6"/>
      <c r="J89" s="18"/>
      <c r="K89" s="6"/>
      <c r="L89" s="18"/>
      <c r="M89" s="6"/>
      <c r="N89" s="18"/>
      <c r="O89" s="6"/>
      <c r="P89" s="18"/>
      <c r="Q89" s="6"/>
      <c r="R89" s="18"/>
      <c r="S89" s="6"/>
      <c r="T89" s="18"/>
      <c r="U89" s="6"/>
      <c r="V89" s="18"/>
      <c r="W89" s="6"/>
      <c r="X89" s="18"/>
      <c r="Y89" s="6"/>
      <c r="Z89" s="18"/>
      <c r="AA89" s="6"/>
      <c r="AB89" s="18"/>
      <c r="AC89" s="6"/>
      <c r="AD89" s="18"/>
      <c r="AE89" s="6"/>
      <c r="AF89" s="18"/>
      <c r="AG89" s="6"/>
      <c r="AH89" s="18"/>
      <c r="AI89" s="6"/>
      <c r="AJ89" s="18"/>
      <c r="AK89" s="6"/>
      <c r="AL89" s="18"/>
      <c r="AM89" s="6"/>
      <c r="AN89" s="18"/>
      <c r="AO89" s="6"/>
      <c r="AP89" s="18"/>
      <c r="AQ89" s="18"/>
      <c r="AR89" s="18"/>
      <c r="AS89" s="6"/>
      <c r="AT89" s="18"/>
      <c r="AU89" s="6"/>
      <c r="AV89" s="18"/>
      <c r="AW89" s="6"/>
      <c r="AX89" s="18"/>
      <c r="AY89" s="6"/>
      <c r="AZ89" s="18"/>
      <c r="BA89" s="6"/>
      <c r="BB89" s="18"/>
      <c r="BC89" s="6"/>
      <c r="BD89" s="18"/>
      <c r="BE89" s="6"/>
      <c r="BF89" s="18"/>
      <c r="BG89" s="6"/>
      <c r="BH89" s="18"/>
      <c r="BI89" s="6"/>
      <c r="BJ89" s="18"/>
      <c r="BK89" s="6"/>
      <c r="BL89" s="18"/>
      <c r="BM89" s="6"/>
      <c r="BN89" s="18"/>
      <c r="BO89" s="6"/>
      <c r="BP89" s="18"/>
      <c r="BQ89" s="6"/>
      <c r="BR89" s="18"/>
      <c r="BS89" s="6"/>
      <c r="BT89" s="18"/>
      <c r="BU89" s="6"/>
      <c r="BV89" s="18"/>
      <c r="BW89" s="6"/>
      <c r="BX89" s="18"/>
      <c r="BY89" s="6"/>
      <c r="BZ89" s="18"/>
      <c r="CA89" s="6"/>
      <c r="CB89" s="18"/>
      <c r="CC89" s="6"/>
      <c r="CD89" s="18"/>
      <c r="CE89" s="6"/>
      <c r="CF89" s="18"/>
      <c r="CG89" s="6"/>
      <c r="CH89" s="18"/>
      <c r="CI89" s="6"/>
      <c r="CJ89" s="18"/>
      <c r="CK89" s="6"/>
      <c r="CL89" s="18"/>
      <c r="CM89" s="6"/>
      <c r="CN89" s="18"/>
      <c r="CO89" s="6"/>
      <c r="CP89" s="18"/>
      <c r="CQ89" s="8"/>
      <c r="CR89" s="18"/>
      <c r="CS89" s="6"/>
      <c r="CT89" s="18"/>
      <c r="CU89" s="6"/>
      <c r="CV89" s="18"/>
      <c r="CW89" s="8"/>
      <c r="CX89" s="18"/>
      <c r="CY89" s="8"/>
      <c r="CZ89" s="18"/>
      <c r="DA89" s="6"/>
      <c r="DB89" s="18"/>
      <c r="DC89" s="6"/>
    </row>
    <row r="90" spans="2:107" ht="18.75" customHeight="1" thickBot="1">
      <c r="B90" s="6" t="s">
        <v>57</v>
      </c>
      <c r="C90" s="6"/>
      <c r="D90" s="27"/>
      <c r="E90" s="6"/>
      <c r="F90" s="27"/>
      <c r="G90" s="6"/>
      <c r="H90" s="27"/>
      <c r="I90" s="6"/>
      <c r="J90" s="27">
        <f>J56+J88</f>
        <v>484980863.7452696</v>
      </c>
      <c r="K90" s="6"/>
      <c r="L90" s="27">
        <f>L56+L88</f>
        <v>375258439.58938104</v>
      </c>
      <c r="M90" s="6"/>
      <c r="N90" s="27">
        <f>N56+N88</f>
        <v>350556654.78903663</v>
      </c>
      <c r="O90" s="6"/>
      <c r="P90" s="27">
        <f>P56+P88</f>
        <v>322548397.0266763</v>
      </c>
      <c r="Q90" s="6"/>
      <c r="R90" s="27">
        <f>R56+R88</f>
        <v>397569475.40026248</v>
      </c>
      <c r="S90" s="6"/>
      <c r="T90" s="27">
        <f>T56+T88</f>
        <v>299915361.26356792</v>
      </c>
      <c r="U90" s="6"/>
      <c r="V90" s="27">
        <f>V56+V88</f>
        <v>259913733.46449333</v>
      </c>
      <c r="W90" s="6"/>
      <c r="X90" s="27">
        <f>X56+X88</f>
        <v>240265663.22965455</v>
      </c>
      <c r="Y90" s="6"/>
      <c r="Z90" s="27">
        <f>Z56+Z88</f>
        <v>234187948.46645415</v>
      </c>
      <c r="AA90" s="6"/>
      <c r="AB90" s="27">
        <f>AB56+AB88</f>
        <v>236480185.50373682</v>
      </c>
      <c r="AC90" s="6"/>
      <c r="AD90" s="27">
        <f>AD56+AD88</f>
        <v>202323059.29950982</v>
      </c>
      <c r="AE90" s="6"/>
      <c r="AF90" s="27">
        <f>AF56+AF88</f>
        <v>200468790.33748353</v>
      </c>
      <c r="AG90" s="6"/>
      <c r="AH90" s="27">
        <f>AH56+AH88</f>
        <v>165956383.69726938</v>
      </c>
      <c r="AI90" s="6"/>
      <c r="AJ90" s="27">
        <f>AJ56+AJ88</f>
        <v>159685491.68226668</v>
      </c>
      <c r="AK90" s="6"/>
      <c r="AL90" s="27">
        <f>AL56+AL88</f>
        <v>135670562.12863553</v>
      </c>
      <c r="AM90" s="6"/>
      <c r="AN90" s="27">
        <f>AN56+AN88</f>
        <v>134700452.42439494</v>
      </c>
      <c r="AO90" s="6"/>
      <c r="AP90" s="27">
        <f>AP56+AP88</f>
        <v>142333509.96905679</v>
      </c>
      <c r="AQ90" s="27"/>
      <c r="AR90" s="27">
        <f>AR56+AR88</f>
        <v>141612872.22485778</v>
      </c>
      <c r="AS90" s="6"/>
      <c r="AT90" s="27">
        <f>AT56+AT88</f>
        <v>120648494.11339316</v>
      </c>
      <c r="AU90" s="6"/>
      <c r="AV90" s="27">
        <f>AV56+AV88</f>
        <v>140464301.4994812</v>
      </c>
      <c r="AW90" s="6"/>
      <c r="AX90" s="27">
        <f>AX56+AX88</f>
        <v>149048460.63034666</v>
      </c>
      <c r="AY90" s="6"/>
      <c r="AZ90" s="27">
        <f>AZ56+AZ88</f>
        <v>125095826.73358819</v>
      </c>
      <c r="BA90" s="6"/>
      <c r="BB90" s="27">
        <f>BB56+BB88</f>
        <v>112119204.66216667</v>
      </c>
      <c r="BC90" s="6"/>
      <c r="BD90" s="27">
        <f>BD56+BD88</f>
        <v>121687033.94343492</v>
      </c>
      <c r="BE90" s="6"/>
      <c r="BF90" s="27">
        <f>BF56+BF88</f>
        <v>140550797.20293492</v>
      </c>
      <c r="BG90" s="6"/>
      <c r="BH90" s="27">
        <f>BH56+BH88</f>
        <v>108586537.8151083</v>
      </c>
      <c r="BI90" s="6"/>
      <c r="BJ90" s="27">
        <f>BJ56+BJ88</f>
        <v>119694717.26884706</v>
      </c>
      <c r="BK90" s="6"/>
      <c r="BL90" s="27">
        <f>BL56+BL88</f>
        <v>119174355.85845831</v>
      </c>
      <c r="BM90" s="6"/>
      <c r="BN90" s="27">
        <f>BN56+BN88</f>
        <v>115232611.57836874</v>
      </c>
      <c r="BO90" s="6"/>
      <c r="BP90" s="27">
        <f>BP56+BP88</f>
        <v>98344024.150627494</v>
      </c>
      <c r="BQ90" s="6"/>
      <c r="BR90" s="27">
        <f>BR56+BR88</f>
        <v>88930054.07949999</v>
      </c>
      <c r="BS90" s="6"/>
      <c r="BT90" s="27">
        <f>BT56+BT88</f>
        <v>86509517.219999999</v>
      </c>
      <c r="BU90" s="6"/>
      <c r="BV90" s="27">
        <f>BV56+BV88</f>
        <v>91446931.085000008</v>
      </c>
      <c r="BW90" s="6"/>
      <c r="BX90" s="27">
        <f>BX56+BX88</f>
        <v>93095267.400000006</v>
      </c>
      <c r="BY90" s="6"/>
      <c r="BZ90" s="27">
        <f>BZ56+BZ88</f>
        <v>89637647.159999996</v>
      </c>
      <c r="CA90" s="6"/>
      <c r="CB90" s="27">
        <f>CB56+CB88</f>
        <v>88965484.75</v>
      </c>
      <c r="CC90" s="6"/>
      <c r="CD90" s="27">
        <f>CD56+CD88</f>
        <v>104404344.215</v>
      </c>
      <c r="CE90" s="6"/>
      <c r="CF90" s="27">
        <f>CF56+CF88</f>
        <v>107479235.2</v>
      </c>
      <c r="CG90" s="6"/>
      <c r="CH90" s="27">
        <f>CH56+CH88</f>
        <v>79249458.379999995</v>
      </c>
      <c r="CI90" s="6"/>
      <c r="CJ90" s="27">
        <f>CJ56+CJ88</f>
        <v>92221485.670000002</v>
      </c>
      <c r="CK90" s="6"/>
      <c r="CL90" s="27">
        <f>CL56+CL88</f>
        <v>106273404.38860002</v>
      </c>
      <c r="CM90" s="6"/>
      <c r="CN90" s="27">
        <f>CN56+CN88</f>
        <v>103218644.28221563</v>
      </c>
      <c r="CO90" s="6"/>
      <c r="CP90" s="27">
        <f>CP56+CP88</f>
        <v>96908824.205848724</v>
      </c>
      <c r="CQ90" s="8"/>
      <c r="CR90" s="27">
        <f>CR56+CR88</f>
        <v>93016428.369281814</v>
      </c>
      <c r="CS90" s="6"/>
      <c r="CT90" s="27">
        <f>CT56+CT88</f>
        <v>102844801.54922408</v>
      </c>
      <c r="CU90" s="6"/>
      <c r="CV90" s="27">
        <f>CV56+CV88</f>
        <v>66538296.341448694</v>
      </c>
      <c r="CW90" s="8"/>
      <c r="CX90" s="27">
        <f>CX56+CX88</f>
        <v>46387788.934981808</v>
      </c>
      <c r="CY90" s="8"/>
      <c r="CZ90" s="27">
        <f>CZ56+CZ88</f>
        <v>60071095.124081239</v>
      </c>
      <c r="DA90" s="6"/>
      <c r="DB90" s="27">
        <f>DB56+DB88</f>
        <v>48488280.802318528</v>
      </c>
      <c r="DC90" s="6"/>
    </row>
    <row r="91" spans="2:107">
      <c r="D91" s="28"/>
      <c r="F91" s="28"/>
      <c r="H91" s="28"/>
      <c r="J91" s="28"/>
      <c r="L91" s="28"/>
      <c r="N91" s="28"/>
      <c r="P91" s="28"/>
      <c r="R91" s="28"/>
      <c r="T91" s="28"/>
      <c r="V91" s="28"/>
      <c r="X91" s="28"/>
      <c r="Z91" s="28"/>
      <c r="AB91" s="28"/>
      <c r="AD91" s="28"/>
      <c r="AF91" s="28"/>
      <c r="AH91" s="28"/>
      <c r="AJ91" s="28"/>
      <c r="AL91" s="28"/>
      <c r="AN91" s="28"/>
      <c r="AP91" s="28"/>
      <c r="AQ91" s="28"/>
      <c r="AR91" s="28"/>
      <c r="AT91" s="28"/>
      <c r="AV91" s="28"/>
      <c r="AX91" s="28"/>
      <c r="AZ91" s="28"/>
      <c r="BB91" s="28"/>
      <c r="BD91" s="28"/>
      <c r="BF91" s="28"/>
      <c r="BH91" s="28"/>
      <c r="BJ91" s="28"/>
      <c r="BL91" s="28"/>
      <c r="BN91" s="28"/>
      <c r="BP91" s="28"/>
      <c r="BR91" s="28"/>
      <c r="BT91" s="28"/>
      <c r="BV91" s="28"/>
      <c r="BX91" s="28"/>
      <c r="BZ91" s="28"/>
      <c r="CB91" s="28"/>
      <c r="CD91" s="28"/>
      <c r="CF91" s="28"/>
      <c r="CH91" s="28"/>
      <c r="CJ91" s="28"/>
      <c r="CL91" s="28"/>
      <c r="CN91" s="28"/>
      <c r="CP91" s="28"/>
      <c r="CQ91" s="8"/>
      <c r="CR91" s="28"/>
      <c r="CT91" s="28"/>
      <c r="CV91" s="28"/>
      <c r="CW91" s="8"/>
      <c r="CX91" s="28"/>
      <c r="CY91" s="8"/>
      <c r="CZ91" s="28"/>
      <c r="DB91" s="28"/>
    </row>
    <row r="92" spans="2:107">
      <c r="D92" s="140"/>
      <c r="F92" s="140"/>
      <c r="H92" s="140"/>
      <c r="J92" s="140">
        <f>J90-J41</f>
        <v>0</v>
      </c>
      <c r="L92" s="140">
        <f>L90-L41</f>
        <v>0</v>
      </c>
      <c r="N92" s="140">
        <f>N90-N41</f>
        <v>0</v>
      </c>
      <c r="P92" s="140">
        <f>P90-P41</f>
        <v>0</v>
      </c>
      <c r="R92" s="140">
        <f>R90-R41</f>
        <v>0</v>
      </c>
      <c r="T92" s="140">
        <f>T90-T41</f>
        <v>0</v>
      </c>
      <c r="V92" s="140">
        <f>V90-V41</f>
        <v>0</v>
      </c>
      <c r="X92" s="140">
        <f>X90-X41</f>
        <v>0</v>
      </c>
      <c r="Z92" s="140">
        <f>Z90-Z41</f>
        <v>0</v>
      </c>
      <c r="AB92" s="140">
        <f>AB90-AB41</f>
        <v>0</v>
      </c>
      <c r="AD92" s="140">
        <f>AD90-AD41</f>
        <v>0</v>
      </c>
      <c r="AF92" s="140">
        <f>AF90-AF41</f>
        <v>0</v>
      </c>
      <c r="AH92" s="140">
        <f>AH90-AH41</f>
        <v>0</v>
      </c>
      <c r="AJ92" s="140">
        <f>AJ90-AJ41</f>
        <v>0</v>
      </c>
      <c r="AL92" s="140">
        <f>AL90-AL41</f>
        <v>0</v>
      </c>
      <c r="AN92" s="140">
        <f>AN90-AN41</f>
        <v>0</v>
      </c>
      <c r="AP92" s="140">
        <f>AP90-AP41</f>
        <v>0</v>
      </c>
      <c r="AQ92" s="140"/>
      <c r="AR92" s="140">
        <f>AR90-AR41</f>
        <v>0</v>
      </c>
      <c r="AT92" s="140">
        <f>AT90-AT41</f>
        <v>0</v>
      </c>
      <c r="AV92" s="140">
        <f>AV90-AV41</f>
        <v>0</v>
      </c>
      <c r="AX92" s="140">
        <f>AX90-AX41</f>
        <v>0</v>
      </c>
      <c r="AZ92" s="140">
        <f>AZ90-AZ41</f>
        <v>0</v>
      </c>
      <c r="BB92" s="140">
        <f>BB90-BB41</f>
        <v>0</v>
      </c>
      <c r="BD92" s="140">
        <f>BD90-BD41</f>
        <v>0</v>
      </c>
      <c r="BF92" s="140">
        <f>BF90-BF41</f>
        <v>0</v>
      </c>
      <c r="BH92" s="140">
        <f>BH90-BH41</f>
        <v>0</v>
      </c>
      <c r="BJ92" s="5">
        <f>BJ90-BJ41</f>
        <v>0</v>
      </c>
      <c r="BL92" s="137">
        <f>BL90-BL41</f>
        <v>0</v>
      </c>
      <c r="BN92" s="137">
        <f>BN90-BN41</f>
        <v>0</v>
      </c>
      <c r="BO92" s="137"/>
      <c r="BP92" s="137">
        <f>BP90-BP41</f>
        <v>-2.6558190584182739E-3</v>
      </c>
      <c r="BR92" s="133">
        <f>BR90-BR41</f>
        <v>0</v>
      </c>
      <c r="BT92" s="5">
        <f>BT90-BT41</f>
        <v>0</v>
      </c>
      <c r="BV92" s="5">
        <f>BV90-BV41</f>
        <v>0</v>
      </c>
      <c r="BZ92" s="5">
        <f>BZ90-BZ41</f>
        <v>0</v>
      </c>
      <c r="CB92" s="5">
        <f>CB90-CB41</f>
        <v>0</v>
      </c>
      <c r="CD92" s="5">
        <f>CD90-CD41</f>
        <v>0</v>
      </c>
      <c r="CF92" s="5">
        <f>CF90-CF41</f>
        <v>0</v>
      </c>
      <c r="CH92" s="5">
        <f>CH90-CH41</f>
        <v>0</v>
      </c>
      <c r="CJ92" s="5">
        <f>CJ90-CJ41</f>
        <v>0</v>
      </c>
      <c r="CL92" s="5">
        <f>CL90-CL41</f>
        <v>-1.399993896484375E-3</v>
      </c>
      <c r="CN92" s="5">
        <f>CN90-CN41</f>
        <v>0</v>
      </c>
      <c r="CP92" s="5">
        <f>CP90-CP41</f>
        <v>-2.2999942302703857E-3</v>
      </c>
      <c r="CR92" s="5">
        <f>CR90-CR41</f>
        <v>3.9195418357849121E-3</v>
      </c>
      <c r="CT92" s="5">
        <f>CT90-CT41</f>
        <v>0</v>
      </c>
      <c r="CV92" s="5">
        <f>CV90-CV41</f>
        <v>2.7006641030311584E-3</v>
      </c>
      <c r="CX92" s="5">
        <f>CX90-CX41</f>
        <v>9.0068578720092773E-4</v>
      </c>
      <c r="CZ92" s="5">
        <f>CZ90-CZ41</f>
        <v>4.5934915542602539E-3</v>
      </c>
      <c r="DB92" s="5">
        <f>DB90-DB41</f>
        <v>3.315947949886322E-3</v>
      </c>
    </row>
    <row r="93" spans="2:107">
      <c r="B93" s="8"/>
      <c r="C93" s="8"/>
      <c r="D93" s="7"/>
      <c r="E93" s="8"/>
      <c r="F93" s="7"/>
      <c r="G93" s="8"/>
      <c r="H93" s="7"/>
      <c r="I93" s="8"/>
      <c r="J93" s="7"/>
      <c r="K93" s="8"/>
      <c r="L93" s="7"/>
      <c r="M93" s="8"/>
      <c r="N93" s="7"/>
      <c r="O93" s="8"/>
      <c r="P93" s="7"/>
      <c r="Q93" s="8"/>
      <c r="R93" s="7"/>
      <c r="S93" s="8"/>
      <c r="T93" s="7"/>
      <c r="U93" s="8"/>
      <c r="V93" s="7"/>
      <c r="W93" s="8"/>
      <c r="X93" s="7"/>
      <c r="Y93" s="8"/>
      <c r="Z93" s="7"/>
      <c r="AA93" s="8"/>
      <c r="AB93" s="7"/>
      <c r="AC93" s="8"/>
      <c r="AD93" s="7"/>
      <c r="AE93" s="8"/>
      <c r="AF93" s="7"/>
      <c r="AG93" s="8"/>
      <c r="AH93" s="7"/>
      <c r="AI93" s="8"/>
      <c r="AJ93" s="7"/>
      <c r="AK93" s="8"/>
      <c r="AL93" s="7"/>
      <c r="AM93" s="8"/>
      <c r="AN93" s="7"/>
      <c r="AO93" s="8"/>
      <c r="AP93" s="7"/>
      <c r="AQ93" s="7"/>
      <c r="AR93" s="7"/>
      <c r="AS93" s="8"/>
      <c r="AT93" s="7"/>
      <c r="AU93" s="8"/>
      <c r="AV93" s="7"/>
      <c r="AW93" s="8"/>
      <c r="AX93" s="7"/>
      <c r="AY93" s="8"/>
      <c r="AZ93" s="7"/>
      <c r="BA93" s="8"/>
      <c r="BB93" s="7"/>
      <c r="BC93" s="8"/>
      <c r="BD93" s="7"/>
      <c r="BE93" s="8"/>
      <c r="BF93" s="7"/>
      <c r="BG93" s="8"/>
      <c r="BH93" s="7"/>
      <c r="BI93" s="8"/>
      <c r="BJ93" s="7"/>
      <c r="BK93" s="8"/>
      <c r="BL93" s="7"/>
      <c r="BM93" s="8"/>
      <c r="BN93" s="7"/>
      <c r="BP93" s="7"/>
      <c r="BQ93" s="8"/>
      <c r="BR93" s="7"/>
      <c r="BS93" s="8"/>
      <c r="BT93" s="7"/>
      <c r="BV93" s="7"/>
      <c r="BW93" s="8"/>
      <c r="BX93" s="7"/>
      <c r="BY93" s="8"/>
      <c r="BZ93" s="7"/>
      <c r="CA93" s="8"/>
      <c r="CB93" s="7"/>
      <c r="CD93" s="7"/>
      <c r="CE93" s="8"/>
      <c r="CF93" s="7"/>
      <c r="CG93" s="8"/>
      <c r="CH93" s="7"/>
      <c r="CI93" s="8"/>
      <c r="CJ93" s="7"/>
      <c r="CR93" s="101"/>
    </row>
    <row r="94" spans="2:107">
      <c r="B94" s="102" t="s">
        <v>190</v>
      </c>
      <c r="C94" s="100"/>
      <c r="D94" s="101"/>
      <c r="E94" s="100"/>
      <c r="F94" s="101"/>
      <c r="G94" s="100"/>
      <c r="H94" s="101"/>
      <c r="I94" s="100"/>
      <c r="J94" s="101">
        <f>L94</f>
        <v>8529129</v>
      </c>
      <c r="K94" s="100"/>
      <c r="L94" s="101">
        <f>N94</f>
        <v>8529129</v>
      </c>
      <c r="M94" s="100"/>
      <c r="N94" s="101">
        <f>P94</f>
        <v>8529129</v>
      </c>
      <c r="O94" s="100"/>
      <c r="P94" s="101">
        <f>R94</f>
        <v>8529129</v>
      </c>
      <c r="Q94" s="100"/>
      <c r="R94" s="101">
        <f>T94</f>
        <v>8529129</v>
      </c>
      <c r="S94" s="100"/>
      <c r="T94" s="101">
        <f>V94</f>
        <v>8529129</v>
      </c>
      <c r="U94" s="100"/>
      <c r="V94" s="101">
        <f>X94</f>
        <v>8529129</v>
      </c>
      <c r="W94" s="100"/>
      <c r="X94" s="101">
        <f>Z94</f>
        <v>8529129</v>
      </c>
      <c r="Y94" s="100"/>
      <c r="Z94" s="101">
        <f>AB94</f>
        <v>8529129</v>
      </c>
      <c r="AA94" s="100"/>
      <c r="AB94" s="101">
        <f>AD94</f>
        <v>8529129</v>
      </c>
      <c r="AC94" s="100"/>
      <c r="AD94" s="101">
        <f>AF94</f>
        <v>8529129</v>
      </c>
      <c r="AE94" s="100"/>
      <c r="AF94" s="101">
        <f>AH94</f>
        <v>8529129</v>
      </c>
      <c r="AG94" s="100"/>
      <c r="AH94" s="101">
        <f>AJ94</f>
        <v>8529129</v>
      </c>
      <c r="AI94" s="100"/>
      <c r="AJ94" s="101">
        <f>AL94</f>
        <v>8529129</v>
      </c>
      <c r="AK94" s="100"/>
      <c r="AL94" s="101">
        <f>AN94</f>
        <v>8529129</v>
      </c>
      <c r="AM94" s="100"/>
      <c r="AN94" s="101">
        <f>AP94</f>
        <v>8529129</v>
      </c>
      <c r="AO94" s="100"/>
      <c r="AP94" s="101">
        <f>AR94</f>
        <v>8529129</v>
      </c>
      <c r="AQ94" s="101"/>
      <c r="AR94" s="101">
        <f>AT94</f>
        <v>8529129</v>
      </c>
      <c r="AS94" s="100"/>
      <c r="AT94" s="101">
        <f>AV94</f>
        <v>8529129</v>
      </c>
      <c r="AU94" s="100"/>
      <c r="AV94" s="101">
        <f>AX94</f>
        <v>8529129</v>
      </c>
      <c r="AW94" s="100"/>
      <c r="AX94" s="101">
        <f>AZ94</f>
        <v>8529129</v>
      </c>
      <c r="AY94" s="102"/>
      <c r="AZ94" s="101">
        <f>BB94</f>
        <v>8529129</v>
      </c>
      <c r="BA94" s="100"/>
      <c r="BB94" s="101">
        <f>BD94</f>
        <v>8529129</v>
      </c>
      <c r="BC94" s="100"/>
      <c r="BD94" s="101">
        <f>BF94</f>
        <v>8529129</v>
      </c>
      <c r="BE94" s="100"/>
      <c r="BF94" s="101">
        <f>BH94</f>
        <v>8529129</v>
      </c>
      <c r="BG94" s="100"/>
      <c r="BH94" s="101">
        <f>BJ94</f>
        <v>8529129</v>
      </c>
      <c r="BI94" s="100"/>
      <c r="BJ94" s="101">
        <f>BL94</f>
        <v>8529129</v>
      </c>
      <c r="BK94" s="100"/>
      <c r="BL94" s="101">
        <f>BN94</f>
        <v>8529129</v>
      </c>
      <c r="BM94" s="100"/>
      <c r="BN94" s="101">
        <f>BP94</f>
        <v>8529129</v>
      </c>
      <c r="BO94" s="85"/>
      <c r="BP94" s="101">
        <f>BR94</f>
        <v>8529129</v>
      </c>
      <c r="BQ94" s="100"/>
      <c r="BR94" s="101">
        <f>BT94</f>
        <v>8529129</v>
      </c>
      <c r="BS94" s="100"/>
      <c r="BT94" s="101">
        <f>BV94</f>
        <v>8529129</v>
      </c>
      <c r="BU94" s="85"/>
      <c r="BV94" s="101">
        <v>8529129</v>
      </c>
      <c r="BW94" s="100"/>
      <c r="BX94" s="101">
        <v>8529129</v>
      </c>
      <c r="BY94" s="100"/>
      <c r="BZ94" s="101">
        <v>8529129</v>
      </c>
      <c r="CA94" s="100"/>
      <c r="CB94" s="101">
        <v>8529129</v>
      </c>
      <c r="CC94" s="85"/>
      <c r="CD94" s="101">
        <v>8529129</v>
      </c>
      <c r="CE94" s="100"/>
      <c r="CF94" s="101">
        <v>8529129</v>
      </c>
      <c r="CG94" s="100"/>
      <c r="CH94" s="101">
        <v>8529129</v>
      </c>
      <c r="CI94" s="100"/>
      <c r="CJ94" s="101">
        <v>8529129</v>
      </c>
      <c r="CK94" s="85"/>
      <c r="CL94" s="101">
        <v>8529129</v>
      </c>
      <c r="CM94" s="85"/>
      <c r="CN94" s="101">
        <v>8529129</v>
      </c>
      <c r="CO94" s="85"/>
      <c r="CP94" s="101">
        <v>8529129</v>
      </c>
      <c r="CQ94" s="85"/>
      <c r="CR94" s="101">
        <v>8529129</v>
      </c>
      <c r="CS94" s="85"/>
      <c r="CT94" s="101">
        <v>6719129</v>
      </c>
      <c r="CU94" s="85"/>
      <c r="CV94" s="101">
        <v>6719129</v>
      </c>
      <c r="CW94" s="85"/>
      <c r="CX94" s="101">
        <v>6682000</v>
      </c>
      <c r="CY94" s="85"/>
      <c r="CZ94" s="101">
        <v>6682000</v>
      </c>
      <c r="DA94" s="101"/>
      <c r="DB94" s="101">
        <v>6682000</v>
      </c>
    </row>
    <row r="95" spans="2:107">
      <c r="B95" s="102" t="s">
        <v>209</v>
      </c>
      <c r="C95" s="100"/>
      <c r="D95" s="85"/>
      <c r="E95" s="100"/>
      <c r="F95" s="85"/>
      <c r="G95" s="100"/>
      <c r="H95" s="85"/>
      <c r="I95" s="100"/>
      <c r="J95" s="85">
        <f>J56/J94</f>
        <v>26.160338144028671</v>
      </c>
      <c r="K95" s="100"/>
      <c r="L95" s="85">
        <f>L56/L94</f>
        <v>22.279411150919394</v>
      </c>
      <c r="M95" s="100"/>
      <c r="N95" s="85">
        <f>N56/N94</f>
        <v>20.090801325951109</v>
      </c>
      <c r="O95" s="100"/>
      <c r="P95" s="85">
        <f>P56/P94</f>
        <v>18.099491854530182</v>
      </c>
      <c r="Q95" s="100"/>
      <c r="R95" s="85">
        <f>R56/R94</f>
        <v>19.800027555692427</v>
      </c>
      <c r="S95" s="100"/>
      <c r="T95" s="85">
        <f>T56/T94</f>
        <v>15.73443351833145</v>
      </c>
      <c r="U95" s="100"/>
      <c r="V95" s="85">
        <f>V56/V94</f>
        <v>13.821317304359365</v>
      </c>
      <c r="W95" s="100"/>
      <c r="X95" s="85">
        <f>X56/X94</f>
        <v>12.364594689984852</v>
      </c>
      <c r="Y95" s="100"/>
      <c r="Z95" s="85">
        <f>Z56/Z94</f>
        <v>12.492007710936186</v>
      </c>
      <c r="AA95" s="100"/>
      <c r="AB95" s="85">
        <f>AB56/AB94</f>
        <v>10.299538158237391</v>
      </c>
      <c r="AC95" s="100"/>
      <c r="AD95" s="85">
        <f>AD56/AD94</f>
        <v>9.9375765284209052</v>
      </c>
      <c r="AE95" s="100"/>
      <c r="AF95" s="85">
        <f>AF56/AF94</f>
        <v>9.8990663824328813</v>
      </c>
      <c r="AG95" s="100"/>
      <c r="AH95" s="85">
        <f>AH56/AH94</f>
        <v>9.653763289655684</v>
      </c>
      <c r="AI95" s="100"/>
      <c r="AJ95" s="85">
        <f>AJ56/AJ94</f>
        <v>9.4451249025467128</v>
      </c>
      <c r="AK95" s="100"/>
      <c r="AL95" s="85">
        <f>AL56/AL94</f>
        <v>9.0713744840860944</v>
      </c>
      <c r="AM95" s="100"/>
      <c r="AN95" s="85">
        <f>AN56/AN94</f>
        <v>9.1141474425041515</v>
      </c>
      <c r="AO95" s="100"/>
      <c r="AP95" s="85">
        <f>AP56/AP94</f>
        <v>9.3305541638309659</v>
      </c>
      <c r="AQ95" s="85"/>
      <c r="AR95" s="85">
        <f>AR56/AR94</f>
        <v>8.9100903022455533</v>
      </c>
      <c r="AS95" s="100"/>
      <c r="AT95" s="85">
        <f>AT56/AT94</f>
        <v>8.5749223193126696</v>
      </c>
      <c r="AU95" s="100"/>
      <c r="AV95" s="85">
        <f>AV56/AV94</f>
        <v>8.4389039495344349</v>
      </c>
      <c r="AW95" s="100"/>
      <c r="AX95" s="85">
        <f>AX56/AX94</f>
        <v>8.5257379246062026</v>
      </c>
      <c r="AY95" s="102"/>
      <c r="AZ95" s="85">
        <f>AZ56/AZ94</f>
        <v>8.236753414124097</v>
      </c>
      <c r="BA95" s="100"/>
      <c r="BB95" s="85">
        <f>BB56/BB94</f>
        <v>8.2374010592797156</v>
      </c>
      <c r="BC95" s="100"/>
      <c r="BD95" s="85">
        <f>BD56/BD94</f>
        <v>8.2273879772602321</v>
      </c>
      <c r="BE95" s="100"/>
      <c r="BF95" s="85">
        <f>BF56/BF94</f>
        <v>8.078499129407188</v>
      </c>
      <c r="BG95" s="100"/>
      <c r="BH95" s="85">
        <f>BH56/BH94</f>
        <v>7.2675476761783031</v>
      </c>
      <c r="BI95" s="100"/>
      <c r="BJ95" s="85">
        <f>BJ56/BJ94</f>
        <v>8.2954922557759101</v>
      </c>
      <c r="BK95" s="100"/>
      <c r="BL95" s="85">
        <f>BL56/BL94</f>
        <v>8.1056467616007417</v>
      </c>
      <c r="BM95" s="100"/>
      <c r="BN95" s="85">
        <f>BN56/BN94</f>
        <v>7.236360541430285</v>
      </c>
      <c r="BO95" s="85"/>
      <c r="BP95" s="85">
        <f>BP56/BP94</f>
        <v>6.8713202310139163</v>
      </c>
      <c r="BQ95" s="100"/>
      <c r="BR95" s="85">
        <f>BR56/BR94</f>
        <v>6.8143221728150669</v>
      </c>
      <c r="BS95" s="100"/>
      <c r="BT95" s="85">
        <f>BT56/BT94</f>
        <v>6.7060717559788339</v>
      </c>
      <c r="BU95" s="85"/>
      <c r="BV95" s="85">
        <f>BV56/BV94</f>
        <v>6.7573979341853079</v>
      </c>
      <c r="BW95" s="100"/>
      <c r="BX95" s="85">
        <f>BX56/BX94</f>
        <v>6.609226177725767</v>
      </c>
      <c r="BY95" s="100"/>
      <c r="BZ95" s="85">
        <f>BZ56/BZ94</f>
        <v>6.5629235693351573</v>
      </c>
      <c r="CA95" s="100"/>
      <c r="CB95" s="85">
        <f>CB56/CB94</f>
        <v>6.5981926607042753</v>
      </c>
      <c r="CC95" s="85"/>
      <c r="CD95" s="85">
        <f>CD56/CD94</f>
        <v>6.6298607425213065</v>
      </c>
      <c r="CE95" s="100"/>
      <c r="CF95" s="85">
        <f>CF56/CF94</f>
        <v>6.6664490617975174</v>
      </c>
      <c r="CG95" s="100"/>
      <c r="CH95" s="85">
        <f>CH56/CH94</f>
        <v>6.3789978003615602</v>
      </c>
      <c r="CI95" s="100"/>
      <c r="CJ95" s="85">
        <f>CJ56/CJ94</f>
        <v>6.7187140773694471</v>
      </c>
      <c r="CK95" s="85"/>
      <c r="CL95" s="85">
        <f>CL56/CL94</f>
        <v>6.7778012407363066</v>
      </c>
      <c r="CM95" s="85"/>
      <c r="CN95" s="85">
        <f>CN56/CN94</f>
        <v>6.6651908067003589</v>
      </c>
      <c r="CO95" s="85"/>
      <c r="CP95" s="85">
        <f>CP56/CP94</f>
        <v>6.5658681343238499</v>
      </c>
      <c r="CQ95" s="85"/>
      <c r="CR95" s="85">
        <f>CR56/CR94</f>
        <v>6.4455876763353706</v>
      </c>
      <c r="CS95" s="85"/>
      <c r="CT95" s="85">
        <f>CT56/CT94</f>
        <v>8.1741273724493482</v>
      </c>
      <c r="CU95" s="85"/>
      <c r="CV95" s="85">
        <f>CV56/CV94</f>
        <v>3.1767069618981818</v>
      </c>
      <c r="CW95" s="85"/>
      <c r="CX95" s="85">
        <f>CX56/CX94</f>
        <v>2.746519459837097</v>
      </c>
      <c r="CY95" s="85"/>
      <c r="CZ95" s="85">
        <f>CZ56/CZ94</f>
        <v>2.6232324369699533</v>
      </c>
      <c r="DA95" s="85"/>
      <c r="DB95" s="85">
        <f>DB56/DB94</f>
        <v>2.7317550316415979</v>
      </c>
    </row>
    <row r="96" spans="2:107">
      <c r="B96" s="9"/>
      <c r="C96" s="9"/>
      <c r="D96" s="7"/>
      <c r="E96" s="9"/>
      <c r="F96" s="7"/>
      <c r="G96" s="9"/>
      <c r="H96" s="7"/>
      <c r="I96" s="9"/>
      <c r="J96" s="7"/>
      <c r="K96" s="9"/>
      <c r="L96" s="7"/>
      <c r="M96" s="9"/>
      <c r="N96" s="7"/>
      <c r="O96" s="9"/>
      <c r="P96" s="7"/>
      <c r="Q96" s="9"/>
      <c r="R96" s="7"/>
      <c r="S96" s="9"/>
      <c r="T96" s="7"/>
      <c r="U96" s="9"/>
      <c r="V96" s="7"/>
      <c r="W96" s="9"/>
      <c r="X96" s="7"/>
      <c r="Y96" s="9"/>
      <c r="Z96" s="7"/>
      <c r="AA96" s="9"/>
      <c r="AB96" s="7"/>
      <c r="AC96" s="9"/>
      <c r="AD96" s="7"/>
      <c r="AE96" s="9"/>
      <c r="AF96" s="7"/>
      <c r="AG96" s="9"/>
      <c r="AH96" s="7"/>
      <c r="AI96" s="9"/>
      <c r="AJ96" s="7"/>
      <c r="AK96" s="9"/>
      <c r="AL96" s="7"/>
      <c r="AM96" s="9"/>
      <c r="AN96" s="7"/>
      <c r="AO96" s="9"/>
      <c r="AP96" s="7"/>
      <c r="AQ96" s="7"/>
      <c r="AR96" s="7"/>
      <c r="AS96" s="9"/>
      <c r="AT96" s="7"/>
      <c r="AU96" s="9"/>
      <c r="AV96" s="7"/>
      <c r="AW96" s="9"/>
      <c r="AX96" s="7"/>
      <c r="AY96" s="9"/>
      <c r="AZ96" s="7"/>
      <c r="BA96" s="9"/>
      <c r="BB96" s="7"/>
      <c r="BC96" s="9"/>
      <c r="BD96" s="7"/>
      <c r="BE96" s="9"/>
      <c r="BF96" s="7"/>
      <c r="BG96" s="9"/>
      <c r="BH96" s="7"/>
      <c r="BI96" s="9"/>
      <c r="BJ96" s="7"/>
      <c r="BK96" s="9"/>
      <c r="BL96" s="7"/>
      <c r="BM96" s="9"/>
      <c r="BN96" s="7"/>
      <c r="BP96" s="7"/>
      <c r="BQ96" s="9"/>
      <c r="BR96" s="7"/>
      <c r="BS96" s="9"/>
      <c r="BT96" s="7"/>
      <c r="BV96" s="7"/>
      <c r="BW96" s="9"/>
      <c r="BX96" s="7"/>
      <c r="BY96" s="9"/>
      <c r="BZ96" s="7"/>
      <c r="CA96" s="9"/>
      <c r="CB96" s="7"/>
      <c r="CD96" s="7"/>
      <c r="CE96" s="9"/>
      <c r="CF96" s="7"/>
      <c r="CG96" s="9"/>
      <c r="CH96" s="7"/>
      <c r="CI96" s="9"/>
      <c r="CJ96" s="7"/>
    </row>
  </sheetData>
  <mergeCells count="1">
    <mergeCell ref="A1:B2"/>
  </mergeCells>
  <pageMargins left="0.7" right="0.7" top="0.75" bottom="0.75" header="0.3" footer="0.3"/>
  <pageSetup paperSize="9" scale="1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GY79"/>
  <sheetViews>
    <sheetView zoomScale="110" zoomScaleNormal="110" workbookViewId="0">
      <pane xSplit="2" ySplit="2" topLeftCell="DD3" activePane="bottomRight" state="frozen"/>
      <selection pane="topRight" activeCell="C1" sqref="C1"/>
      <selection pane="bottomLeft" activeCell="A3" sqref="A3"/>
      <selection pane="bottomRight" sqref="A1:B2"/>
    </sheetView>
  </sheetViews>
  <sheetFormatPr defaultColWidth="9.1796875" defaultRowHeight="9"/>
  <cols>
    <col min="1" max="1" width="0.81640625" style="5" customWidth="1"/>
    <col min="2" max="2" width="45.453125" style="5" customWidth="1"/>
    <col min="3" max="3" width="2" style="5" customWidth="1"/>
    <col min="4" max="4" width="12.81640625" style="5" customWidth="1"/>
    <col min="5" max="5" width="2" style="5" customWidth="1"/>
    <col min="6" max="6" width="12.81640625" style="5" customWidth="1"/>
    <col min="7" max="7" width="2" style="5" customWidth="1"/>
    <col min="8" max="8" width="12.81640625" style="5" customWidth="1"/>
    <col min="9" max="9" width="2" style="5" customWidth="1"/>
    <col min="10" max="10" width="12.81640625" style="5" customWidth="1"/>
    <col min="11" max="11" width="2" style="5" customWidth="1"/>
    <col min="12" max="12" width="12.81640625" style="5" customWidth="1"/>
    <col min="13" max="13" width="2" style="5" customWidth="1"/>
    <col min="14" max="14" width="12.81640625" style="5" customWidth="1"/>
    <col min="15" max="15" width="2" style="5" customWidth="1"/>
    <col min="16" max="16" width="12.81640625" style="5" customWidth="1"/>
    <col min="17" max="17" width="2" style="5" customWidth="1"/>
    <col min="18" max="18" width="12.81640625" style="5" customWidth="1"/>
    <col min="19" max="19" width="2" style="5" customWidth="1"/>
    <col min="20" max="20" width="12.81640625" style="5" customWidth="1"/>
    <col min="21" max="21" width="2" style="5" customWidth="1"/>
    <col min="22" max="22" width="12.81640625" style="5" customWidth="1"/>
    <col min="23" max="23" width="2" style="5" customWidth="1"/>
    <col min="24" max="24" width="12.81640625" style="5" customWidth="1"/>
    <col min="25" max="25" width="2" style="5" customWidth="1"/>
    <col min="26" max="26" width="12.81640625" style="5" customWidth="1"/>
    <col min="27" max="27" width="2" style="5" customWidth="1"/>
    <col min="28" max="28" width="12.81640625" style="5" customWidth="1"/>
    <col min="29" max="29" width="2" style="5" customWidth="1"/>
    <col min="30" max="30" width="12.81640625" style="5" customWidth="1"/>
    <col min="31" max="31" width="2" style="5" customWidth="1"/>
    <col min="32" max="32" width="12.81640625" style="5" customWidth="1"/>
    <col min="33" max="33" width="2" style="5" customWidth="1"/>
    <col min="34" max="34" width="12.81640625" style="5" customWidth="1"/>
    <col min="35" max="35" width="2" style="5" customWidth="1"/>
    <col min="36" max="36" width="12.81640625" style="5" customWidth="1"/>
    <col min="37" max="37" width="2" style="5" customWidth="1"/>
    <col min="38" max="38" width="12.81640625" style="5" customWidth="1"/>
    <col min="39" max="39" width="2" style="5" customWidth="1"/>
    <col min="40" max="40" width="12.81640625" style="5" customWidth="1"/>
    <col min="41" max="41" width="2" style="5" customWidth="1"/>
    <col min="42" max="42" width="12.81640625" style="5" customWidth="1"/>
    <col min="43" max="43" width="2" style="5" customWidth="1"/>
    <col min="44" max="44" width="12.81640625" style="5" customWidth="1"/>
    <col min="45" max="45" width="2" style="5" customWidth="1"/>
    <col min="46" max="46" width="12.81640625" style="5" customWidth="1"/>
    <col min="47" max="47" width="2" style="5" customWidth="1"/>
    <col min="48" max="48" width="12.81640625" style="5" customWidth="1"/>
    <col min="49" max="49" width="2" style="5" customWidth="1"/>
    <col min="50" max="50" width="12.81640625" style="5" customWidth="1"/>
    <col min="51" max="51" width="2" style="5" customWidth="1"/>
    <col min="52" max="52" width="12.81640625" style="5" customWidth="1"/>
    <col min="53" max="53" width="2" style="5" customWidth="1"/>
    <col min="54" max="54" width="12.81640625" style="5" customWidth="1"/>
    <col min="55" max="55" width="2" style="5" customWidth="1"/>
    <col min="56" max="56" width="12.81640625" style="5" customWidth="1"/>
    <col min="57" max="57" width="2" style="5" customWidth="1"/>
    <col min="58" max="58" width="12.81640625" style="5" customWidth="1"/>
    <col min="59" max="59" width="2" style="5" customWidth="1"/>
    <col min="60" max="60" width="12.81640625" style="5" customWidth="1"/>
    <col min="61" max="61" width="2" style="5" customWidth="1"/>
    <col min="62" max="62" width="12.81640625" style="5" customWidth="1"/>
    <col min="63" max="63" width="2" style="5" customWidth="1"/>
    <col min="64" max="64" width="12.81640625" style="5" customWidth="1"/>
    <col min="65" max="65" width="2" style="5" customWidth="1"/>
    <col min="66" max="66" width="12.81640625" style="5" customWidth="1"/>
    <col min="67" max="67" width="2" style="5" customWidth="1"/>
    <col min="68" max="68" width="12.81640625" style="5" customWidth="1"/>
    <col min="69" max="69" width="2" style="5" customWidth="1"/>
    <col min="70" max="70" width="12.81640625" style="5" customWidth="1"/>
    <col min="71" max="71" width="2" style="5" customWidth="1"/>
    <col min="72" max="72" width="12.81640625" style="5" customWidth="1"/>
    <col min="73" max="73" width="2" style="5" customWidth="1"/>
    <col min="74" max="74" width="12.81640625" style="5" customWidth="1"/>
    <col min="75" max="75" width="2" style="5" customWidth="1"/>
    <col min="76" max="76" width="12.81640625" style="5" customWidth="1"/>
    <col min="77" max="77" width="2" style="5" customWidth="1"/>
    <col min="78" max="78" width="12.81640625" style="5" customWidth="1"/>
    <col min="79" max="79" width="2" style="5" customWidth="1"/>
    <col min="80" max="80" width="12.81640625" style="5" customWidth="1"/>
    <col min="81" max="81" width="2" style="5" customWidth="1"/>
    <col min="82" max="82" width="12.81640625" style="5" customWidth="1"/>
    <col min="83" max="83" width="2" style="5" customWidth="1"/>
    <col min="84" max="84" width="12.81640625" style="5" customWidth="1"/>
    <col min="85" max="85" width="2" style="5" customWidth="1"/>
    <col min="86" max="86" width="12.81640625" style="5" customWidth="1"/>
    <col min="87" max="87" width="2" style="5" customWidth="1"/>
    <col min="88" max="88" width="12.81640625" style="5" customWidth="1"/>
    <col min="89" max="89" width="2" style="5" customWidth="1"/>
    <col min="90" max="90" width="12.81640625" style="5" customWidth="1"/>
    <col min="91" max="91" width="2" style="5" customWidth="1"/>
    <col min="92" max="92" width="12.81640625" style="5" customWidth="1"/>
    <col min="93" max="93" width="2" style="5" customWidth="1"/>
    <col min="94" max="94" width="12.81640625" style="5" customWidth="1"/>
    <col min="95" max="95" width="2" style="5" customWidth="1"/>
    <col min="96" max="96" width="12.81640625" style="5" customWidth="1"/>
    <col min="97" max="97" width="2" style="5" customWidth="1"/>
    <col min="98" max="98" width="12.81640625" style="5" customWidth="1"/>
    <col min="99" max="99" width="2" style="5" customWidth="1"/>
    <col min="100" max="100" width="12.81640625" style="5" customWidth="1"/>
    <col min="101" max="101" width="1.81640625" style="5" customWidth="1"/>
    <col min="102" max="102" width="12.81640625" style="5" customWidth="1"/>
    <col min="103" max="103" width="2" style="5" customWidth="1"/>
    <col min="104" max="104" width="12.81640625" style="5" customWidth="1"/>
    <col min="105" max="105" width="2" style="5" customWidth="1"/>
    <col min="106" max="106" width="12.81640625" style="5" customWidth="1"/>
    <col min="107" max="107" width="0.81640625" style="74" customWidth="1"/>
    <col min="108" max="108" width="12.81640625" style="5" customWidth="1"/>
    <col min="109" max="109" width="1.7265625" style="5" customWidth="1"/>
    <col min="110" max="110" width="12.81640625" style="5" customWidth="1"/>
    <col min="111" max="111" width="1.7265625" style="5" customWidth="1"/>
    <col min="112" max="112" width="17" style="5" customWidth="1"/>
    <col min="113" max="113" width="1.7265625" style="5" customWidth="1"/>
    <col min="114" max="114" width="12.81640625" style="5" customWidth="1"/>
    <col min="115" max="115" width="1.7265625" style="5" customWidth="1"/>
    <col min="116" max="116" width="12.81640625" style="5" customWidth="1"/>
    <col min="117" max="117" width="1.7265625" style="5" customWidth="1"/>
    <col min="118" max="118" width="12.81640625" style="5" customWidth="1"/>
    <col min="119" max="119" width="1.7265625" style="5" customWidth="1"/>
    <col min="120" max="120" width="17" style="5" customWidth="1"/>
    <col min="121" max="121" width="1.7265625" style="5" customWidth="1"/>
    <col min="122" max="122" width="12.81640625" style="5" customWidth="1"/>
    <col min="123" max="123" width="1.7265625" style="5" customWidth="1"/>
    <col min="124" max="124" width="12.81640625" style="5" customWidth="1"/>
    <col min="125" max="125" width="1.7265625" style="5" customWidth="1"/>
    <col min="126" max="126" width="12.81640625" style="5" customWidth="1"/>
    <col min="127" max="127" width="1.7265625" style="5" customWidth="1"/>
    <col min="128" max="128" width="12.81640625" style="5" customWidth="1"/>
    <col min="129" max="129" width="1.7265625" style="5" customWidth="1"/>
    <col min="130" max="130" width="12.81640625" style="5" customWidth="1"/>
    <col min="131" max="131" width="1.7265625" style="5" customWidth="1"/>
    <col min="132" max="132" width="12.81640625" style="5" customWidth="1"/>
    <col min="133" max="133" width="1.7265625" style="5" customWidth="1"/>
    <col min="134" max="134" width="12.81640625" style="5" customWidth="1"/>
    <col min="135" max="135" width="1.7265625" style="5" customWidth="1"/>
    <col min="136" max="136" width="12.81640625" style="5" customWidth="1"/>
    <col min="137" max="137" width="1.7265625" style="5" customWidth="1"/>
    <col min="138" max="138" width="12.81640625" style="5" customWidth="1"/>
    <col min="139" max="139" width="1.7265625" style="5" customWidth="1"/>
    <col min="140" max="140" width="12.81640625" style="5" customWidth="1"/>
    <col min="141" max="141" width="1.7265625" style="5" customWidth="1"/>
    <col min="142" max="142" width="12.81640625" style="5" customWidth="1"/>
    <col min="143" max="143" width="1.7265625" style="5" customWidth="1"/>
    <col min="144" max="144" width="12.81640625" style="5" customWidth="1"/>
    <col min="145" max="145" width="1.7265625" style="5" customWidth="1"/>
    <col min="146" max="146" width="12.81640625" style="5" customWidth="1"/>
    <col min="147" max="147" width="1.7265625" style="5" customWidth="1"/>
    <col min="148" max="148" width="12.81640625" style="5" customWidth="1"/>
    <col min="149" max="149" width="1.7265625" style="5" customWidth="1"/>
    <col min="150" max="150" width="12.81640625" style="5" customWidth="1"/>
    <col min="151" max="151" width="1.7265625" style="5" customWidth="1"/>
    <col min="152" max="152" width="12.81640625" style="5" customWidth="1"/>
    <col min="153" max="153" width="1.7265625" style="5" customWidth="1"/>
    <col min="154" max="154" width="12.81640625" style="5" customWidth="1"/>
    <col min="155" max="155" width="1.7265625" style="5" customWidth="1"/>
    <col min="156" max="156" width="12.81640625" style="5" customWidth="1"/>
    <col min="157" max="157" width="1.7265625" style="5" customWidth="1"/>
    <col min="158" max="158" width="12.81640625" style="5" customWidth="1"/>
    <col min="159" max="159" width="1.7265625" style="5" customWidth="1"/>
    <col min="160" max="160" width="12.81640625" style="5" customWidth="1"/>
    <col min="161" max="161" width="1.7265625" style="5" customWidth="1"/>
    <col min="162" max="162" width="12.81640625" style="5" customWidth="1"/>
    <col min="163" max="163" width="1.7265625" style="5" customWidth="1"/>
    <col min="164" max="164" width="12.81640625" style="5" customWidth="1"/>
    <col min="165" max="165" width="1.7265625" style="5" customWidth="1"/>
    <col min="166" max="166" width="12.81640625" style="5" customWidth="1"/>
    <col min="167" max="167" width="1.7265625" style="5" customWidth="1"/>
    <col min="168" max="168" width="12.81640625" style="5" customWidth="1"/>
    <col min="169" max="169" width="1.7265625" style="5" customWidth="1"/>
    <col min="170" max="170" width="12.81640625" style="5" customWidth="1"/>
    <col min="171" max="171" width="1.7265625" style="5" customWidth="1"/>
    <col min="172" max="172" width="12.81640625" style="5" customWidth="1"/>
    <col min="173" max="173" width="1.7265625" style="5" customWidth="1"/>
    <col min="174" max="174" width="12.81640625" style="5" customWidth="1"/>
    <col min="175" max="175" width="1.7265625" style="5" customWidth="1"/>
    <col min="176" max="176" width="12.81640625" style="5" customWidth="1"/>
    <col min="177" max="177" width="1.7265625" style="5" customWidth="1"/>
    <col min="178" max="178" width="12.81640625" style="5" customWidth="1"/>
    <col min="179" max="179" width="1.7265625" style="5" customWidth="1"/>
    <col min="180" max="180" width="12.81640625" style="5" customWidth="1"/>
    <col min="181" max="181" width="1.7265625" style="5" customWidth="1"/>
    <col min="182" max="182" width="12.81640625" style="5" customWidth="1"/>
    <col min="183" max="183" width="1.7265625" style="5" customWidth="1"/>
    <col min="184" max="184" width="12.81640625" style="5" customWidth="1"/>
    <col min="185" max="185" width="1.7265625" style="5" customWidth="1"/>
    <col min="186" max="186" width="12.81640625" style="5" customWidth="1"/>
    <col min="187" max="187" width="1.7265625" style="5" customWidth="1"/>
    <col min="188" max="188" width="12.81640625" style="5" customWidth="1"/>
    <col min="189" max="189" width="1.7265625" style="5" customWidth="1"/>
    <col min="190" max="190" width="12.81640625" style="5" customWidth="1"/>
    <col min="191" max="191" width="1.7265625" style="5" customWidth="1"/>
    <col min="192" max="192" width="12.81640625" style="5" customWidth="1"/>
    <col min="193" max="193" width="1.7265625" style="5" customWidth="1"/>
    <col min="194" max="194" width="12.81640625" style="5" customWidth="1"/>
    <col min="195" max="195" width="1.7265625" style="5" customWidth="1"/>
    <col min="196" max="196" width="12.81640625" style="5" customWidth="1"/>
    <col min="197" max="197" width="1.7265625" style="5" customWidth="1"/>
    <col min="198" max="198" width="12.81640625" style="5" customWidth="1"/>
    <col min="199" max="199" width="2" style="5" customWidth="1"/>
    <col min="200" max="200" width="12.81640625" style="5" customWidth="1"/>
    <col min="201" max="201" width="1.7265625" style="5" customWidth="1"/>
    <col min="202" max="202" width="12.81640625" style="5" customWidth="1"/>
    <col min="203" max="203" width="1.7265625" style="5" customWidth="1"/>
    <col min="204" max="204" width="12.81640625" style="5" customWidth="1"/>
    <col min="205" max="205" width="10.26953125" style="5" customWidth="1"/>
    <col min="206" max="16384" width="9.1796875" style="5"/>
  </cols>
  <sheetData>
    <row r="1" spans="1:204" s="82" customFormat="1" ht="16.5" customHeight="1">
      <c r="A1" s="201" t="s">
        <v>196</v>
      </c>
      <c r="B1" s="201"/>
      <c r="D1" s="186">
        <v>45930</v>
      </c>
      <c r="E1" s="187"/>
      <c r="F1" s="188">
        <v>45838</v>
      </c>
      <c r="G1" s="187"/>
      <c r="H1" s="188">
        <v>45747</v>
      </c>
      <c r="I1" s="187"/>
      <c r="J1" s="188">
        <v>45657</v>
      </c>
      <c r="L1" s="186">
        <v>45565</v>
      </c>
      <c r="M1" s="187"/>
      <c r="N1" s="188">
        <v>45473</v>
      </c>
      <c r="O1" s="187"/>
      <c r="P1" s="188">
        <v>45382</v>
      </c>
      <c r="Q1" s="187"/>
      <c r="R1" s="188">
        <v>45291</v>
      </c>
      <c r="T1" s="186">
        <v>45199</v>
      </c>
      <c r="U1" s="187"/>
      <c r="V1" s="188">
        <v>45107</v>
      </c>
      <c r="W1" s="187"/>
      <c r="X1" s="188">
        <v>45016</v>
      </c>
      <c r="Y1" s="187"/>
      <c r="Z1" s="188">
        <v>44926</v>
      </c>
      <c r="AB1" s="186">
        <v>44834</v>
      </c>
      <c r="AC1" s="187"/>
      <c r="AD1" s="188">
        <v>44742</v>
      </c>
      <c r="AE1" s="187"/>
      <c r="AF1" s="188">
        <v>44651</v>
      </c>
      <c r="AG1" s="187"/>
      <c r="AH1" s="188">
        <v>44561</v>
      </c>
      <c r="AJ1" s="83" t="s">
        <v>279</v>
      </c>
      <c r="AL1" s="81" t="s">
        <v>280</v>
      </c>
      <c r="AN1" s="81" t="s">
        <v>281</v>
      </c>
      <c r="AP1" s="81" t="s">
        <v>282</v>
      </c>
      <c r="AR1" s="83" t="s">
        <v>272</v>
      </c>
      <c r="AT1" s="81" t="s">
        <v>271</v>
      </c>
      <c r="AV1" s="81" t="s">
        <v>270</v>
      </c>
      <c r="AX1" s="81" t="s">
        <v>269</v>
      </c>
      <c r="AZ1" s="83" t="s">
        <v>256</v>
      </c>
      <c r="BB1" s="81" t="s">
        <v>255</v>
      </c>
      <c r="BD1" s="81" t="s">
        <v>253</v>
      </c>
      <c r="BF1" s="81" t="s">
        <v>254</v>
      </c>
      <c r="BH1" s="83" t="s">
        <v>234</v>
      </c>
      <c r="BJ1" s="81" t="s">
        <v>235</v>
      </c>
      <c r="BL1" s="81" t="s">
        <v>236</v>
      </c>
      <c r="BN1" s="81" t="s">
        <v>233</v>
      </c>
      <c r="BP1" s="81" t="s">
        <v>232</v>
      </c>
      <c r="BR1" s="81" t="s">
        <v>231</v>
      </c>
      <c r="BT1" s="81" t="s">
        <v>230</v>
      </c>
      <c r="BV1" s="178" t="s">
        <v>217</v>
      </c>
      <c r="BX1" s="81" t="s">
        <v>218</v>
      </c>
      <c r="BZ1" s="81" t="s">
        <v>219</v>
      </c>
      <c r="CB1" s="81" t="s">
        <v>220</v>
      </c>
      <c r="CD1" s="83" t="s">
        <v>212</v>
      </c>
      <c r="CF1" s="81" t="s">
        <v>187</v>
      </c>
      <c r="CH1" s="81" t="s">
        <v>182</v>
      </c>
      <c r="CJ1" s="81" t="s">
        <v>163</v>
      </c>
      <c r="CL1" s="83" t="s">
        <v>162</v>
      </c>
      <c r="CN1" s="81" t="s">
        <v>0</v>
      </c>
      <c r="CP1" s="81" t="s">
        <v>1</v>
      </c>
      <c r="CR1" s="81" t="s">
        <v>2</v>
      </c>
      <c r="CT1" s="83" t="s">
        <v>3</v>
      </c>
      <c r="CV1" s="81" t="s">
        <v>4</v>
      </c>
      <c r="CX1" s="81" t="s">
        <v>5</v>
      </c>
      <c r="CZ1" s="83" t="s">
        <v>188</v>
      </c>
      <c r="DB1" s="83" t="s">
        <v>189</v>
      </c>
      <c r="DC1" s="84"/>
      <c r="DD1" s="191">
        <f>D1</f>
        <v>45930</v>
      </c>
      <c r="DE1" s="190"/>
      <c r="DF1" s="191">
        <f>F1</f>
        <v>45838</v>
      </c>
      <c r="DG1" s="190"/>
      <c r="DH1" s="191">
        <f>H1</f>
        <v>45747</v>
      </c>
      <c r="DI1" s="190"/>
      <c r="DJ1" s="191">
        <f>J1</f>
        <v>45657</v>
      </c>
      <c r="DL1" s="191">
        <f>L1</f>
        <v>45565</v>
      </c>
      <c r="DM1" s="190"/>
      <c r="DN1" s="191">
        <f>N1</f>
        <v>45473</v>
      </c>
      <c r="DO1" s="190"/>
      <c r="DP1" s="191">
        <f>P1</f>
        <v>45382</v>
      </c>
      <c r="DQ1" s="190"/>
      <c r="DR1" s="191">
        <f>R1</f>
        <v>45291</v>
      </c>
      <c r="DT1" s="191">
        <f>T1</f>
        <v>45199</v>
      </c>
      <c r="DU1" s="190"/>
      <c r="DV1" s="191">
        <f>V1</f>
        <v>45107</v>
      </c>
      <c r="DW1" s="190"/>
      <c r="DX1" s="191">
        <f>X1</f>
        <v>45016</v>
      </c>
      <c r="DY1" s="190"/>
      <c r="DZ1" s="191">
        <f>Z1</f>
        <v>44926</v>
      </c>
      <c r="EB1" s="191">
        <f>AB1</f>
        <v>44834</v>
      </c>
      <c r="EC1" s="190"/>
      <c r="ED1" s="191">
        <f>AD1</f>
        <v>44742</v>
      </c>
      <c r="EE1" s="190"/>
      <c r="EF1" s="191">
        <f>AF1</f>
        <v>44651</v>
      </c>
      <c r="EG1" s="190"/>
      <c r="EH1" s="191">
        <f>AH1</f>
        <v>44561</v>
      </c>
      <c r="EJ1" s="81" t="str">
        <f>AJ1</f>
        <v>30.09.2021</v>
      </c>
      <c r="EL1" s="81" t="str">
        <f>AL1</f>
        <v>30.06.2021</v>
      </c>
      <c r="EN1" s="81" t="str">
        <f>AN1</f>
        <v>31.03.2021</v>
      </c>
      <c r="EP1" s="81" t="str">
        <f>AP1</f>
        <v>31.12.2020</v>
      </c>
      <c r="ER1" s="81" t="str">
        <f>AR1</f>
        <v>30.09.2020</v>
      </c>
      <c r="ET1" s="81" t="str">
        <f>AT1</f>
        <v>30.06.2020</v>
      </c>
      <c r="EV1" s="81" t="str">
        <f>AV1</f>
        <v>31.03.2020</v>
      </c>
      <c r="EX1" s="81" t="str">
        <f>AX1</f>
        <v>31.12.2019</v>
      </c>
      <c r="EZ1" s="81" t="str">
        <f>AZ1</f>
        <v>30.09.2019</v>
      </c>
      <c r="FB1" s="81" t="str">
        <f>BB1</f>
        <v>30.06.2019</v>
      </c>
      <c r="FD1" s="81" t="str">
        <f>BD1</f>
        <v>31.03.2019</v>
      </c>
      <c r="FF1" s="81" t="str">
        <f>BF1</f>
        <v>31.12.2018</v>
      </c>
      <c r="FH1" s="81" t="str">
        <f>BH1</f>
        <v>30.09.2018</v>
      </c>
      <c r="FJ1" s="81" t="str">
        <f>BJ1</f>
        <v>30.06.2018</v>
      </c>
      <c r="FL1" s="81" t="str">
        <f>BL1</f>
        <v>31.03.2018</v>
      </c>
      <c r="FN1" s="81" t="str">
        <f>BN1</f>
        <v>31.12.2017</v>
      </c>
      <c r="FP1" s="81" t="str">
        <f>BP1</f>
        <v>30.09.2017</v>
      </c>
      <c r="FR1" s="81" t="str">
        <f>BR1</f>
        <v>30.06.2017</v>
      </c>
      <c r="FT1" s="81" t="str">
        <f>BT1</f>
        <v>31.03.2017</v>
      </c>
      <c r="FV1" s="81" t="str">
        <f>BV1</f>
        <v>31.12.2016</v>
      </c>
      <c r="FX1" s="81" t="str">
        <f>BX1</f>
        <v>30.09.2016</v>
      </c>
      <c r="FZ1" s="81" t="str">
        <f>BZ1</f>
        <v>30.06.2016</v>
      </c>
      <c r="GB1" s="81" t="s">
        <v>220</v>
      </c>
      <c r="GD1" s="81" t="str">
        <f>CD1</f>
        <v>31.12.2015</v>
      </c>
      <c r="GF1" s="81" t="str">
        <f>CF1</f>
        <v>30.09.2015</v>
      </c>
      <c r="GH1" s="81" t="str">
        <f>CH1</f>
        <v>30.06.2015</v>
      </c>
      <c r="GJ1" s="81" t="s">
        <v>163</v>
      </c>
      <c r="GL1" s="81" t="s">
        <v>162</v>
      </c>
      <c r="GN1" s="81" t="s">
        <v>0</v>
      </c>
      <c r="GP1" s="81" t="s">
        <v>1</v>
      </c>
      <c r="GR1" s="81" t="s">
        <v>2</v>
      </c>
      <c r="GT1" s="81" t="s">
        <v>3</v>
      </c>
      <c r="GV1" s="81" t="s">
        <v>4</v>
      </c>
    </row>
    <row r="2" spans="1:204" s="4" customFormat="1" ht="31.5" customHeight="1">
      <c r="A2" s="201"/>
      <c r="B2" s="201"/>
      <c r="C2" s="2"/>
      <c r="D2" s="90" t="s">
        <v>257</v>
      </c>
      <c r="E2" s="2"/>
      <c r="F2" s="89" t="s">
        <v>193</v>
      </c>
      <c r="G2" s="2"/>
      <c r="H2" s="89" t="s">
        <v>192</v>
      </c>
      <c r="I2" s="2"/>
      <c r="J2" s="89" t="s">
        <v>195</v>
      </c>
      <c r="K2" s="2"/>
      <c r="L2" s="90" t="s">
        <v>257</v>
      </c>
      <c r="M2" s="2"/>
      <c r="N2" s="89" t="s">
        <v>193</v>
      </c>
      <c r="O2" s="2"/>
      <c r="P2" s="89" t="s">
        <v>192</v>
      </c>
      <c r="Q2" s="2"/>
      <c r="R2" s="89" t="s">
        <v>195</v>
      </c>
      <c r="S2" s="2"/>
      <c r="T2" s="90" t="s">
        <v>257</v>
      </c>
      <c r="U2" s="2"/>
      <c r="V2" s="89" t="s">
        <v>193</v>
      </c>
      <c r="W2" s="2"/>
      <c r="X2" s="89" t="s">
        <v>192</v>
      </c>
      <c r="Y2" s="2"/>
      <c r="Z2" s="89" t="s">
        <v>195</v>
      </c>
      <c r="AA2" s="2"/>
      <c r="AB2" s="90" t="s">
        <v>257</v>
      </c>
      <c r="AC2" s="2"/>
      <c r="AD2" s="89" t="s">
        <v>193</v>
      </c>
      <c r="AE2" s="2"/>
      <c r="AF2" s="89" t="s">
        <v>192</v>
      </c>
      <c r="AG2" s="2"/>
      <c r="AH2" s="89" t="s">
        <v>195</v>
      </c>
      <c r="AI2" s="2"/>
      <c r="AJ2" s="90" t="s">
        <v>257</v>
      </c>
      <c r="AK2" s="2"/>
      <c r="AL2" s="89" t="s">
        <v>193</v>
      </c>
      <c r="AM2" s="2"/>
      <c r="AN2" s="89" t="s">
        <v>192</v>
      </c>
      <c r="AO2" s="2"/>
      <c r="AP2" s="89" t="s">
        <v>195</v>
      </c>
      <c r="AQ2" s="2"/>
      <c r="AR2" s="90" t="s">
        <v>257</v>
      </c>
      <c r="AS2" s="2"/>
      <c r="AT2" s="89" t="s">
        <v>193</v>
      </c>
      <c r="AU2" s="2"/>
      <c r="AV2" s="89" t="s">
        <v>192</v>
      </c>
      <c r="AW2" s="2"/>
      <c r="AX2" s="89" t="s">
        <v>195</v>
      </c>
      <c r="AY2" s="2"/>
      <c r="AZ2" s="90" t="s">
        <v>257</v>
      </c>
      <c r="BA2" s="2"/>
      <c r="BB2" s="89" t="s">
        <v>193</v>
      </c>
      <c r="BC2" s="2"/>
      <c r="BD2" s="89" t="s">
        <v>192</v>
      </c>
      <c r="BE2" s="2"/>
      <c r="BF2" s="89" t="s">
        <v>195</v>
      </c>
      <c r="BG2" s="2"/>
      <c r="BH2" s="113" t="s">
        <v>265</v>
      </c>
      <c r="BI2" s="2"/>
      <c r="BJ2" s="89" t="s">
        <v>238</v>
      </c>
      <c r="BK2" s="2"/>
      <c r="BL2" s="89" t="s">
        <v>237</v>
      </c>
      <c r="BM2" s="2"/>
      <c r="BN2" s="89" t="s">
        <v>194</v>
      </c>
      <c r="BO2" s="2"/>
      <c r="BP2" s="89" t="s">
        <v>193</v>
      </c>
      <c r="BQ2" s="2"/>
      <c r="BR2" s="89" t="s">
        <v>192</v>
      </c>
      <c r="BS2" s="2"/>
      <c r="BT2" s="89" t="s">
        <v>195</v>
      </c>
      <c r="BU2" s="2"/>
      <c r="BV2" s="179" t="s">
        <v>248</v>
      </c>
      <c r="BW2" s="2"/>
      <c r="BX2" s="89" t="s">
        <v>193</v>
      </c>
      <c r="BY2" s="2"/>
      <c r="BZ2" s="89" t="s">
        <v>192</v>
      </c>
      <c r="CA2" s="2"/>
      <c r="CB2" s="89" t="s">
        <v>195</v>
      </c>
      <c r="CC2" s="2"/>
      <c r="CD2" s="90" t="s">
        <v>194</v>
      </c>
      <c r="CE2" s="2"/>
      <c r="CF2" s="89" t="s">
        <v>193</v>
      </c>
      <c r="CG2" s="2"/>
      <c r="CH2" s="89" t="s">
        <v>192</v>
      </c>
      <c r="CI2" s="2"/>
      <c r="CJ2" s="89" t="s">
        <v>195</v>
      </c>
      <c r="CK2" s="2"/>
      <c r="CL2" s="90" t="s">
        <v>215</v>
      </c>
      <c r="CM2" s="2"/>
      <c r="CN2" s="89" t="s">
        <v>193</v>
      </c>
      <c r="CO2" s="2"/>
      <c r="CP2" s="89" t="s">
        <v>192</v>
      </c>
      <c r="CQ2" s="2"/>
      <c r="CR2" s="89" t="s">
        <v>195</v>
      </c>
      <c r="CS2" s="2"/>
      <c r="CT2" s="90" t="s">
        <v>194</v>
      </c>
      <c r="CU2" s="2"/>
      <c r="CV2" s="89" t="s">
        <v>193</v>
      </c>
      <c r="CW2" s="2"/>
      <c r="CX2" s="89" t="s">
        <v>192</v>
      </c>
      <c r="CY2" s="2"/>
      <c r="CZ2" s="90" t="s">
        <v>194</v>
      </c>
      <c r="DA2" s="2"/>
      <c r="DB2" s="90" t="s">
        <v>194</v>
      </c>
      <c r="DC2" s="73"/>
      <c r="DD2" s="91" t="s">
        <v>58</v>
      </c>
      <c r="DE2" s="92"/>
      <c r="DF2" s="91" t="s">
        <v>58</v>
      </c>
      <c r="DG2" s="92"/>
      <c r="DH2" s="91" t="s">
        <v>58</v>
      </c>
      <c r="DI2" s="92"/>
      <c r="DJ2" s="91" t="s">
        <v>58</v>
      </c>
      <c r="DK2" s="92"/>
      <c r="DL2" s="91" t="s">
        <v>58</v>
      </c>
      <c r="DM2" s="92"/>
      <c r="DN2" s="91" t="s">
        <v>58</v>
      </c>
      <c r="DO2" s="92"/>
      <c r="DP2" s="91" t="s">
        <v>58</v>
      </c>
      <c r="DQ2" s="92"/>
      <c r="DR2" s="91" t="s">
        <v>58</v>
      </c>
      <c r="DS2" s="92"/>
      <c r="DT2" s="91" t="s">
        <v>58</v>
      </c>
      <c r="DU2" s="92"/>
      <c r="DV2" s="91" t="s">
        <v>58</v>
      </c>
      <c r="DW2" s="92"/>
      <c r="DX2" s="91" t="s">
        <v>58</v>
      </c>
      <c r="DY2" s="92"/>
      <c r="DZ2" s="91" t="s">
        <v>58</v>
      </c>
      <c r="EA2" s="92"/>
      <c r="EB2" s="91" t="s">
        <v>58</v>
      </c>
      <c r="EC2" s="92"/>
      <c r="ED2" s="91" t="s">
        <v>58</v>
      </c>
      <c r="EE2" s="92"/>
      <c r="EF2" s="91" t="s">
        <v>58</v>
      </c>
      <c r="EG2" s="92"/>
      <c r="EH2" s="91" t="s">
        <v>58</v>
      </c>
      <c r="EI2" s="92"/>
      <c r="EJ2" s="91" t="s">
        <v>58</v>
      </c>
      <c r="EK2" s="92"/>
      <c r="EL2" s="91" t="s">
        <v>58</v>
      </c>
      <c r="EM2" s="92"/>
      <c r="EN2" s="91" t="s">
        <v>58</v>
      </c>
      <c r="EO2" s="92"/>
      <c r="EP2" s="91" t="s">
        <v>58</v>
      </c>
      <c r="EQ2" s="92"/>
      <c r="ER2" s="91" t="s">
        <v>58</v>
      </c>
      <c r="ES2" s="92"/>
      <c r="ET2" s="91" t="s">
        <v>58</v>
      </c>
      <c r="EU2" s="92"/>
      <c r="EV2" s="91" t="s">
        <v>58</v>
      </c>
      <c r="EW2" s="92"/>
      <c r="EX2" s="91" t="s">
        <v>58</v>
      </c>
      <c r="EY2" s="92"/>
      <c r="EZ2" s="91" t="s">
        <v>58</v>
      </c>
      <c r="FA2" s="92"/>
      <c r="FB2" s="91" t="s">
        <v>58</v>
      </c>
      <c r="FC2" s="92"/>
      <c r="FD2" s="91" t="s">
        <v>58</v>
      </c>
      <c r="FE2" s="92"/>
      <c r="FF2" s="91" t="s">
        <v>58</v>
      </c>
      <c r="FG2" s="92"/>
      <c r="FH2" s="91" t="s">
        <v>58</v>
      </c>
      <c r="FI2" s="92"/>
      <c r="FJ2" s="91" t="s">
        <v>58</v>
      </c>
      <c r="FK2" s="92"/>
      <c r="FL2" s="91" t="s">
        <v>58</v>
      </c>
      <c r="FM2" s="92"/>
      <c r="FN2" s="91" t="s">
        <v>58</v>
      </c>
      <c r="FO2" s="92"/>
      <c r="FP2" s="91" t="s">
        <v>58</v>
      </c>
      <c r="FQ2" s="92"/>
      <c r="FR2" s="91" t="s">
        <v>58</v>
      </c>
      <c r="FS2" s="92"/>
      <c r="FT2" s="91" t="s">
        <v>58</v>
      </c>
      <c r="FU2" s="92"/>
      <c r="FV2" s="91" t="s">
        <v>58</v>
      </c>
      <c r="FW2" s="92"/>
      <c r="FX2" s="91" t="s">
        <v>58</v>
      </c>
      <c r="FY2" s="92"/>
      <c r="FZ2" s="91" t="s">
        <v>58</v>
      </c>
      <c r="GA2" s="92"/>
      <c r="GB2" s="91" t="s">
        <v>58</v>
      </c>
      <c r="GC2" s="92"/>
      <c r="GD2" s="91" t="s">
        <v>58</v>
      </c>
      <c r="GE2" s="92"/>
      <c r="GF2" s="91" t="s">
        <v>58</v>
      </c>
      <c r="GG2" s="92"/>
      <c r="GH2" s="91" t="s">
        <v>58</v>
      </c>
      <c r="GI2" s="92"/>
      <c r="GJ2" s="91" t="s">
        <v>58</v>
      </c>
      <c r="GK2" s="92"/>
      <c r="GL2" s="91" t="s">
        <v>58</v>
      </c>
      <c r="GM2" s="92"/>
      <c r="GN2" s="91" t="s">
        <v>58</v>
      </c>
      <c r="GO2" s="92"/>
      <c r="GP2" s="91" t="s">
        <v>58</v>
      </c>
      <c r="GQ2" s="92"/>
      <c r="GR2" s="91" t="s">
        <v>58</v>
      </c>
      <c r="GS2" s="92"/>
      <c r="GT2" s="91" t="s">
        <v>58</v>
      </c>
      <c r="GU2" s="92"/>
      <c r="GV2" s="91" t="s">
        <v>58</v>
      </c>
    </row>
    <row r="3" spans="1:204">
      <c r="D3" s="28"/>
      <c r="F3" s="28"/>
      <c r="H3" s="28"/>
      <c r="J3" s="28"/>
      <c r="L3" s="28"/>
      <c r="N3" s="28"/>
      <c r="P3" s="28"/>
      <c r="R3" s="28"/>
      <c r="T3" s="28"/>
      <c r="V3" s="28"/>
      <c r="X3" s="28"/>
      <c r="Z3" s="28"/>
      <c r="AB3" s="28"/>
      <c r="AD3" s="28"/>
      <c r="AF3" s="28"/>
      <c r="AH3" s="28"/>
      <c r="AJ3" s="28"/>
      <c r="AL3" s="28"/>
      <c r="AN3" s="28"/>
      <c r="AP3" s="28"/>
      <c r="AR3" s="28"/>
      <c r="AT3" s="28"/>
      <c r="AV3" s="28"/>
      <c r="AX3" s="28"/>
      <c r="AZ3" s="28"/>
      <c r="BB3" s="28"/>
      <c r="BD3" s="28"/>
      <c r="BF3" s="28"/>
      <c r="BH3" s="28"/>
      <c r="BJ3" s="28"/>
      <c r="BL3" s="28"/>
      <c r="BN3" s="28"/>
      <c r="BP3" s="28"/>
      <c r="BR3" s="28"/>
      <c r="BT3" s="28"/>
      <c r="BV3" s="28"/>
      <c r="BX3" s="28"/>
      <c r="BZ3" s="28"/>
      <c r="CB3" s="28"/>
      <c r="CD3" s="28"/>
      <c r="CF3" s="28"/>
      <c r="CH3" s="28"/>
      <c r="CJ3" s="28"/>
      <c r="CL3" s="28"/>
      <c r="CN3" s="28"/>
      <c r="CP3" s="28"/>
      <c r="CR3" s="28"/>
      <c r="CT3" s="28"/>
      <c r="CV3" s="28"/>
      <c r="CW3" s="8"/>
      <c r="CX3" s="28"/>
      <c r="CZ3" s="28"/>
      <c r="DB3" s="28"/>
      <c r="DD3" s="28"/>
      <c r="DF3" s="28"/>
      <c r="DH3" s="28"/>
      <c r="DJ3" s="28"/>
      <c r="DL3" s="28"/>
      <c r="DN3" s="28"/>
      <c r="DP3" s="28"/>
      <c r="DR3" s="28"/>
      <c r="DT3" s="28"/>
      <c r="DV3" s="28"/>
      <c r="DX3" s="28"/>
      <c r="DZ3" s="28"/>
      <c r="EB3" s="28"/>
      <c r="ED3" s="28"/>
      <c r="EF3" s="28"/>
      <c r="EH3" s="28"/>
      <c r="EJ3" s="28"/>
      <c r="EL3" s="28"/>
      <c r="EN3" s="28"/>
      <c r="EP3" s="28"/>
      <c r="ER3" s="28"/>
      <c r="ET3" s="28"/>
      <c r="EV3" s="28"/>
      <c r="EX3" s="28"/>
      <c r="EZ3" s="28"/>
      <c r="FB3" s="28"/>
      <c r="FD3" s="28"/>
      <c r="FF3" s="28"/>
      <c r="FH3" s="28"/>
      <c r="FJ3" s="28"/>
      <c r="FL3" s="28"/>
      <c r="FN3" s="28"/>
      <c r="FP3" s="28"/>
      <c r="FR3" s="28"/>
      <c r="FT3" s="28"/>
      <c r="FV3" s="28"/>
      <c r="FX3" s="28"/>
      <c r="FZ3" s="28"/>
      <c r="GB3" s="28"/>
      <c r="GD3" s="28"/>
      <c r="GF3" s="28"/>
      <c r="GH3" s="28"/>
      <c r="GJ3" s="28"/>
      <c r="GL3" s="28"/>
      <c r="GN3" s="28"/>
      <c r="GP3" s="28"/>
      <c r="GR3" s="28"/>
      <c r="GT3" s="28"/>
      <c r="GV3" s="28"/>
    </row>
    <row r="4" spans="1:204">
      <c r="B4" s="26" t="s">
        <v>59</v>
      </c>
      <c r="C4" s="26"/>
      <c r="D4" s="29"/>
      <c r="E4" s="26"/>
      <c r="F4" s="29"/>
      <c r="G4" s="26"/>
      <c r="H4" s="29"/>
      <c r="I4" s="26"/>
      <c r="J4" s="29">
        <v>21003540.691039335</v>
      </c>
      <c r="K4" s="26"/>
      <c r="L4" s="29">
        <v>76675493.711600006</v>
      </c>
      <c r="M4" s="26"/>
      <c r="N4" s="29">
        <v>56815334.220182449</v>
      </c>
      <c r="O4" s="26"/>
      <c r="P4" s="29">
        <v>36900494.559999995</v>
      </c>
      <c r="Q4" s="26"/>
      <c r="R4" s="29">
        <v>18377637.280550666</v>
      </c>
      <c r="S4" s="26"/>
      <c r="T4" s="29">
        <v>57125437.726099662</v>
      </c>
      <c r="U4" s="26"/>
      <c r="V4" s="29">
        <v>40922703.165829338</v>
      </c>
      <c r="W4" s="26"/>
      <c r="X4" s="29">
        <v>27645276.740369</v>
      </c>
      <c r="Y4" s="26"/>
      <c r="Z4" s="29">
        <v>14210984.730973335</v>
      </c>
      <c r="AA4" s="26"/>
      <c r="AB4" s="29">
        <v>44386432.350653961</v>
      </c>
      <c r="AC4" s="26"/>
      <c r="AD4" s="29">
        <v>31879002.658741523</v>
      </c>
      <c r="AE4" s="26"/>
      <c r="AF4" s="29">
        <v>20851906.903848495</v>
      </c>
      <c r="AG4" s="26"/>
      <c r="AH4" s="29">
        <v>10686360.890000001</v>
      </c>
      <c r="AI4" s="26"/>
      <c r="AJ4" s="29">
        <v>33286969.719999999</v>
      </c>
      <c r="AK4" s="26"/>
      <c r="AL4" s="29">
        <v>25114058.559999999</v>
      </c>
      <c r="AM4" s="26"/>
      <c r="AN4" s="29">
        <v>16605285.759999998</v>
      </c>
      <c r="AO4" s="26"/>
      <c r="AP4" s="29">
        <v>8406776.2699999996</v>
      </c>
      <c r="AQ4" s="26"/>
      <c r="AR4" s="29">
        <v>29951857.98</v>
      </c>
      <c r="AS4" s="26"/>
      <c r="AT4" s="29">
        <v>22919113.079999998</v>
      </c>
      <c r="AU4" s="26"/>
      <c r="AV4" s="29">
        <v>16105881.630000001</v>
      </c>
      <c r="AW4" s="26"/>
      <c r="AX4" s="29">
        <v>8455676.379999999</v>
      </c>
      <c r="AY4" s="26"/>
      <c r="AZ4" s="29">
        <v>29058219.75</v>
      </c>
      <c r="BA4" s="26"/>
      <c r="BB4" s="29">
        <v>22798897.82</v>
      </c>
      <c r="BC4" s="26"/>
      <c r="BD4" s="29">
        <v>16239792.050000003</v>
      </c>
      <c r="BE4" s="26"/>
      <c r="BF4" s="29">
        <v>7852754.4199999999</v>
      </c>
      <c r="BG4" s="26"/>
      <c r="BH4" s="29">
        <v>43482140.36999999</v>
      </c>
      <c r="BI4" s="26"/>
      <c r="BJ4" s="29">
        <v>36899263.150000006</v>
      </c>
      <c r="BK4" s="26"/>
      <c r="BL4" s="29">
        <v>31368577.009999998</v>
      </c>
      <c r="BM4" s="26"/>
      <c r="BN4" s="29">
        <v>25066528.82</v>
      </c>
      <c r="BO4" s="26"/>
      <c r="BP4" s="29">
        <v>18057648.859999999</v>
      </c>
      <c r="BQ4" s="26"/>
      <c r="BR4" s="29">
        <v>12411252.039999999</v>
      </c>
      <c r="BS4" s="26"/>
      <c r="BT4" s="29">
        <v>5605086.5399999991</v>
      </c>
      <c r="BU4" s="26"/>
      <c r="BV4" s="29">
        <v>18941588.789999999</v>
      </c>
      <c r="BW4" s="26"/>
      <c r="BX4" s="29">
        <v>13609974.15</v>
      </c>
      <c r="BY4" s="26"/>
      <c r="BZ4" s="29">
        <v>9130849.7600000016</v>
      </c>
      <c r="CA4" s="26"/>
      <c r="CB4" s="29">
        <v>4723598.68</v>
      </c>
      <c r="CC4" s="26"/>
      <c r="CD4" s="29">
        <v>19509528.75</v>
      </c>
      <c r="CE4" s="26"/>
      <c r="CF4" s="29">
        <v>14604779.25</v>
      </c>
      <c r="CG4" s="26"/>
      <c r="CH4" s="29">
        <v>9848902.9800000004</v>
      </c>
      <c r="CI4" s="26"/>
      <c r="CJ4" s="29">
        <v>4900018.8600000003</v>
      </c>
      <c r="CK4" s="26"/>
      <c r="CL4" s="29">
        <v>22793713.949999999</v>
      </c>
      <c r="CM4" s="26"/>
      <c r="CN4" s="29">
        <v>18040784.029999997</v>
      </c>
      <c r="CO4" s="26"/>
      <c r="CP4" s="29">
        <v>12829333.85</v>
      </c>
      <c r="CQ4" s="26"/>
      <c r="CR4" s="29">
        <v>5624865.8200000003</v>
      </c>
      <c r="CS4" s="26"/>
      <c r="CT4" s="29">
        <v>31434584.337709174</v>
      </c>
      <c r="CU4" s="26"/>
      <c r="CV4" s="29">
        <v>20350110.93</v>
      </c>
      <c r="CW4" s="8"/>
      <c r="CX4" s="29">
        <v>11972157.209999999</v>
      </c>
      <c r="CZ4" s="29">
        <v>13547039.25</v>
      </c>
      <c r="DA4" s="26"/>
      <c r="DB4" s="29">
        <v>10393672.84</v>
      </c>
      <c r="DC4" s="75"/>
      <c r="DD4" s="29"/>
      <c r="DF4" s="29"/>
      <c r="DH4" s="29"/>
      <c r="DJ4" s="29">
        <f>J4</f>
        <v>21003540.691039335</v>
      </c>
      <c r="DL4" s="29">
        <f>L4-N4</f>
        <v>19860159.491417557</v>
      </c>
      <c r="DN4" s="29">
        <f>N4-P4</f>
        <v>19914839.660182454</v>
      </c>
      <c r="DP4" s="29">
        <f>P4-R4</f>
        <v>18522857.279449329</v>
      </c>
      <c r="DR4" s="29">
        <f>R4</f>
        <v>18377637.280550666</v>
      </c>
      <c r="DT4" s="29">
        <f>T4-V4</f>
        <v>16202734.560270324</v>
      </c>
      <c r="DV4" s="29">
        <f>V4-X4</f>
        <v>13277426.425460339</v>
      </c>
      <c r="DX4" s="29">
        <f>X4-Z4</f>
        <v>13434292.009395665</v>
      </c>
      <c r="DZ4" s="29">
        <f>Z4</f>
        <v>14210984.730973335</v>
      </c>
      <c r="EB4" s="29">
        <f>AB4-AD4</f>
        <v>12507429.691912439</v>
      </c>
      <c r="ED4" s="29">
        <f>AD4-AF4</f>
        <v>11027095.754893027</v>
      </c>
      <c r="EF4" s="29">
        <f>AF4-AH4</f>
        <v>10165546.013848495</v>
      </c>
      <c r="EH4" s="29">
        <f>AH4</f>
        <v>10686360.890000001</v>
      </c>
      <c r="EJ4" s="29">
        <f>AJ4-AL4</f>
        <v>8172911.1600000001</v>
      </c>
      <c r="EL4" s="29">
        <f>AL4-AN4</f>
        <v>8508772.8000000007</v>
      </c>
      <c r="EN4" s="29">
        <f>AN4-AP4</f>
        <v>8198509.4899999984</v>
      </c>
      <c r="EP4" s="29">
        <f>AP4</f>
        <v>8406776.2699999996</v>
      </c>
      <c r="ER4" s="29">
        <f>AR4-AT4</f>
        <v>7032744.9000000022</v>
      </c>
      <c r="ET4" s="29">
        <f>AT4-AV4</f>
        <v>6813231.4499999974</v>
      </c>
      <c r="EV4" s="29">
        <f>AV4-AX4</f>
        <v>7650205.2500000019</v>
      </c>
      <c r="EX4" s="29">
        <f>AX4</f>
        <v>8455676.379999999</v>
      </c>
      <c r="EZ4" s="29">
        <f>AZ4-BB4</f>
        <v>6259321.9299999997</v>
      </c>
      <c r="FB4" s="29">
        <f>BB4-BD4</f>
        <v>6559105.7699999977</v>
      </c>
      <c r="FD4" s="29">
        <f>BD4-BF4</f>
        <v>8387037.6300000027</v>
      </c>
      <c r="FF4" s="29">
        <f>BF4</f>
        <v>7852754.4199999999</v>
      </c>
      <c r="FH4" s="29">
        <f>BH4-BJ4</f>
        <v>6582877.2199999839</v>
      </c>
      <c r="FJ4" s="29">
        <f>BJ4-BL4</f>
        <v>5530686.140000008</v>
      </c>
      <c r="FL4" s="29">
        <f>BL4-BN4</f>
        <v>6302048.1899999976</v>
      </c>
      <c r="FN4" s="29">
        <f>BN4-BP4</f>
        <v>7008879.9600000009</v>
      </c>
      <c r="FP4" s="29">
        <f>BP4-BR4</f>
        <v>5646396.8200000003</v>
      </c>
      <c r="FR4" s="29">
        <f>BR4-BT4</f>
        <v>6806165.5</v>
      </c>
      <c r="FT4" s="29">
        <f>BT4</f>
        <v>5605086.5399999991</v>
      </c>
      <c r="FV4" s="29">
        <f>BV4-BX4</f>
        <v>5331614.6399999987</v>
      </c>
      <c r="FX4" s="29">
        <f>BX4-BZ4</f>
        <v>4479124.3899999987</v>
      </c>
      <c r="FZ4" s="29">
        <f>BZ4-CB4</f>
        <v>4407251.0800000019</v>
      </c>
      <c r="GB4" s="29">
        <f>CB4</f>
        <v>4723598.68</v>
      </c>
      <c r="GD4" s="29">
        <f>CD4-CF4</f>
        <v>4904749.5</v>
      </c>
      <c r="GF4" s="29">
        <f>CF4-CH4</f>
        <v>4755876.2699999996</v>
      </c>
      <c r="GH4" s="29">
        <f>CH4-CJ4</f>
        <v>4948884.12</v>
      </c>
      <c r="GJ4" s="29">
        <f>CJ4</f>
        <v>4900018.8600000003</v>
      </c>
      <c r="GL4" s="29">
        <f>CL4-CN4</f>
        <v>4752929.9200000018</v>
      </c>
      <c r="GN4" s="29">
        <f>CN4-CP4</f>
        <v>5211450.1799999978</v>
      </c>
      <c r="GP4" s="29">
        <f>CP4-CR4</f>
        <v>7204468.0299999993</v>
      </c>
      <c r="GR4" s="29">
        <f>CR4</f>
        <v>5624865.8200000003</v>
      </c>
      <c r="GT4" s="29">
        <f>CT4-CV4</f>
        <v>11084473.407709174</v>
      </c>
      <c r="GV4" s="29">
        <f>CV4-CX4</f>
        <v>8377953.7200000007</v>
      </c>
    </row>
    <row r="5" spans="1:204">
      <c r="B5" s="26" t="s">
        <v>60</v>
      </c>
      <c r="C5" s="26"/>
      <c r="D5" s="29"/>
      <c r="E5" s="26"/>
      <c r="F5" s="29"/>
      <c r="G5" s="26"/>
      <c r="H5" s="29"/>
      <c r="I5" s="26"/>
      <c r="J5" s="29">
        <v>182124745.05496436</v>
      </c>
      <c r="K5" s="26"/>
      <c r="L5" s="29">
        <v>547446299.68767011</v>
      </c>
      <c r="M5" s="26"/>
      <c r="N5" s="29">
        <v>426162190.60813987</v>
      </c>
      <c r="O5" s="26"/>
      <c r="P5" s="29">
        <v>322098271.74000001</v>
      </c>
      <c r="Q5" s="26"/>
      <c r="R5" s="29">
        <v>252918485.10040832</v>
      </c>
      <c r="S5" s="26"/>
      <c r="T5" s="29">
        <v>389746130.25704235</v>
      </c>
      <c r="U5" s="26"/>
      <c r="V5" s="29">
        <v>270260633.10526091</v>
      </c>
      <c r="W5" s="26"/>
      <c r="X5" s="29">
        <v>181832351.93118685</v>
      </c>
      <c r="Y5" s="26"/>
      <c r="Z5" s="29">
        <v>129603235.95306</v>
      </c>
      <c r="AA5" s="26"/>
      <c r="AB5" s="29">
        <v>122474508.72591816</v>
      </c>
      <c r="AC5" s="26"/>
      <c r="AD5" s="29">
        <v>76603380.386868164</v>
      </c>
      <c r="AE5" s="26"/>
      <c r="AF5" s="29">
        <v>51865959.8544285</v>
      </c>
      <c r="AG5" s="26"/>
      <c r="AH5" s="29">
        <v>24734945.309999999</v>
      </c>
      <c r="AI5" s="26"/>
      <c r="AJ5" s="29">
        <v>95340480.689999983</v>
      </c>
      <c r="AK5" s="26"/>
      <c r="AL5" s="29">
        <v>51649646.890000001</v>
      </c>
      <c r="AM5" s="26"/>
      <c r="AN5" s="29">
        <v>44435791.620000005</v>
      </c>
      <c r="AO5" s="26"/>
      <c r="AP5" s="29">
        <v>25660829.129999999</v>
      </c>
      <c r="AQ5" s="26"/>
      <c r="AR5" s="29">
        <v>95434342.969999999</v>
      </c>
      <c r="AS5" s="26"/>
      <c r="AT5" s="29">
        <v>73938151.310000002</v>
      </c>
      <c r="AU5" s="26"/>
      <c r="AV5" s="29">
        <v>58464857.950000003</v>
      </c>
      <c r="AW5" s="26"/>
      <c r="AX5" s="29">
        <v>29134818.48</v>
      </c>
      <c r="AY5" s="26"/>
      <c r="AZ5" s="29">
        <v>105728403.47</v>
      </c>
      <c r="BA5" s="26"/>
      <c r="BB5" s="29">
        <v>78459416.5</v>
      </c>
      <c r="BC5" s="26"/>
      <c r="BD5" s="29">
        <v>68520628.420000002</v>
      </c>
      <c r="BE5" s="26"/>
      <c r="BF5" s="29">
        <v>58100096.270000003</v>
      </c>
      <c r="BG5" s="26"/>
      <c r="BH5" s="29">
        <v>61840998.279999994</v>
      </c>
      <c r="BI5" s="26"/>
      <c r="BJ5" s="29">
        <v>44576799.890000001</v>
      </c>
      <c r="BK5" s="26"/>
      <c r="BL5" s="29">
        <v>39969980.36999999</v>
      </c>
      <c r="BM5" s="26"/>
      <c r="BN5" s="29">
        <v>37869957.089999996</v>
      </c>
      <c r="BO5" s="26"/>
      <c r="BP5" s="29">
        <v>10847795.42</v>
      </c>
      <c r="BQ5" s="26"/>
      <c r="BR5" s="29">
        <v>4979108.3</v>
      </c>
      <c r="BS5" s="26"/>
      <c r="BT5" s="29">
        <v>2155283.08</v>
      </c>
      <c r="BU5" s="26"/>
      <c r="BV5" s="29">
        <v>30491547.579999998</v>
      </c>
      <c r="BW5" s="26"/>
      <c r="BX5" s="29">
        <v>21625335.75</v>
      </c>
      <c r="BY5" s="26"/>
      <c r="BZ5" s="29">
        <v>11382125.700000001</v>
      </c>
      <c r="CA5" s="26"/>
      <c r="CB5" s="29">
        <v>3167411.06</v>
      </c>
      <c r="CC5" s="26"/>
      <c r="CD5" s="29">
        <v>64088888.490000002</v>
      </c>
      <c r="CE5" s="26"/>
      <c r="CF5" s="29">
        <v>43381299.079999998</v>
      </c>
      <c r="CG5" s="26"/>
      <c r="CH5" s="29">
        <v>7200849</v>
      </c>
      <c r="CI5" s="26"/>
      <c r="CJ5" s="29">
        <v>5176700.1500000004</v>
      </c>
      <c r="CK5" s="26"/>
      <c r="CL5" s="29">
        <v>55257501.619999997</v>
      </c>
      <c r="CM5" s="26"/>
      <c r="CN5" s="29">
        <v>30071325.800000001</v>
      </c>
      <c r="CO5" s="26"/>
      <c r="CP5" s="29">
        <v>14629354.880000001</v>
      </c>
      <c r="CQ5" s="26"/>
      <c r="CR5" s="29">
        <v>3210513.75</v>
      </c>
      <c r="CS5" s="26"/>
      <c r="CT5" s="29">
        <v>45941243.290000007</v>
      </c>
      <c r="CU5" s="26"/>
      <c r="CV5" s="29">
        <v>26020941.73</v>
      </c>
      <c r="CW5" s="8"/>
      <c r="CX5" s="29">
        <v>10267047.27</v>
      </c>
      <c r="CZ5" s="29">
        <v>47904473.579999998</v>
      </c>
      <c r="DA5" s="26"/>
      <c r="DB5" s="29">
        <v>34683509.490000002</v>
      </c>
      <c r="DC5" s="75"/>
      <c r="DD5" s="29"/>
      <c r="DF5" s="29"/>
      <c r="DH5" s="29"/>
      <c r="DJ5" s="29">
        <f>J5</f>
        <v>182124745.05496436</v>
      </c>
      <c r="DL5" s="29">
        <f>L5-N5</f>
        <v>121284109.07953024</v>
      </c>
      <c r="DN5" s="29">
        <f>N5-P5</f>
        <v>104063918.86813986</v>
      </c>
      <c r="DP5" s="29">
        <f>P5-R5</f>
        <v>69179786.639591694</v>
      </c>
      <c r="DR5" s="29">
        <f>R5</f>
        <v>252918485.10040832</v>
      </c>
      <c r="DT5" s="29">
        <f>T5-V5</f>
        <v>119485497.15178144</v>
      </c>
      <c r="DV5" s="29">
        <f>V5-X5</f>
        <v>88428281.174074054</v>
      </c>
      <c r="DX5" s="29">
        <f>X5-Z5</f>
        <v>52229115.978126854</v>
      </c>
      <c r="DZ5" s="29">
        <f>Z5</f>
        <v>129603235.95306</v>
      </c>
      <c r="EB5" s="29">
        <f>AB5-AD5</f>
        <v>45871128.339049995</v>
      </c>
      <c r="ED5" s="29">
        <f>AD5-AF5</f>
        <v>24737420.532439664</v>
      </c>
      <c r="EF5" s="29">
        <f>AF5-AH5</f>
        <v>27131014.544428501</v>
      </c>
      <c r="EH5" s="29">
        <f>AH5</f>
        <v>24734945.309999999</v>
      </c>
      <c r="EJ5" s="29">
        <f>AJ5-AL5</f>
        <v>43690833.799999982</v>
      </c>
      <c r="EL5" s="29">
        <f>AL5-AN5</f>
        <v>7213855.2699999958</v>
      </c>
      <c r="EN5" s="29">
        <f>AN5-AP5</f>
        <v>18774962.490000006</v>
      </c>
      <c r="EP5" s="29">
        <f>AP5</f>
        <v>25660829.129999999</v>
      </c>
      <c r="ER5" s="29">
        <f>AR5-AT5</f>
        <v>21496191.659999996</v>
      </c>
      <c r="ET5" s="29">
        <f>AT5-AV5</f>
        <v>15473293.359999999</v>
      </c>
      <c r="EV5" s="29">
        <f>AV5-AX5</f>
        <v>29330039.470000003</v>
      </c>
      <c r="EX5" s="29">
        <f>AX5</f>
        <v>29134818.48</v>
      </c>
      <c r="EZ5" s="29">
        <f>AZ5-BB5</f>
        <v>27268986.969999999</v>
      </c>
      <c r="FB5" s="29">
        <f>BB5-BD5</f>
        <v>9938788.0799999982</v>
      </c>
      <c r="FD5" s="29">
        <f>BD5-BF5</f>
        <v>10420532.149999999</v>
      </c>
      <c r="FF5" s="29">
        <f>BF5</f>
        <v>58100096.270000003</v>
      </c>
      <c r="FH5" s="29">
        <f>BH5-BJ5</f>
        <v>17264198.389999993</v>
      </c>
      <c r="FJ5" s="29">
        <f>BJ5-BL5</f>
        <v>4606819.5200000107</v>
      </c>
      <c r="FL5" s="29">
        <f>BL5-BN5</f>
        <v>2100023.2799999937</v>
      </c>
      <c r="FN5" s="29">
        <f>BN5-BP5</f>
        <v>27022161.669999994</v>
      </c>
      <c r="FP5" s="29">
        <f>BP5-BR5</f>
        <v>5868687.1200000001</v>
      </c>
      <c r="FR5" s="29">
        <f>BR5-BT5</f>
        <v>2823825.2199999997</v>
      </c>
      <c r="FT5" s="29">
        <f>BT5</f>
        <v>2155283.08</v>
      </c>
      <c r="FV5" s="29">
        <f>BV5-BX5</f>
        <v>8866211.8299999982</v>
      </c>
      <c r="FX5" s="29">
        <f>BX5-BZ5</f>
        <v>10243210.049999999</v>
      </c>
      <c r="FZ5" s="29">
        <f>BZ5-CB5</f>
        <v>8214714.6400000006</v>
      </c>
      <c r="GB5" s="29">
        <f>CB5</f>
        <v>3167411.06</v>
      </c>
      <c r="GD5" s="29">
        <f>CD5-CF5</f>
        <v>20707589.410000004</v>
      </c>
      <c r="GF5" s="29">
        <f>CF5-CH5</f>
        <v>36180450.079999998</v>
      </c>
      <c r="GH5" s="29">
        <f>CH5-CJ5</f>
        <v>2024148.8499999996</v>
      </c>
      <c r="GJ5" s="29">
        <f>CJ5</f>
        <v>5176700.1500000004</v>
      </c>
      <c r="GL5" s="29">
        <f>CL5-CN5</f>
        <v>25186175.819999997</v>
      </c>
      <c r="GN5" s="29">
        <f>CN5-CP5</f>
        <v>15441970.92</v>
      </c>
      <c r="GP5" s="29">
        <f>CP5-CR5</f>
        <v>11418841.130000001</v>
      </c>
      <c r="GR5" s="29">
        <f>CR5</f>
        <v>3210513.75</v>
      </c>
      <c r="GT5" s="29">
        <f>CT5-CV5</f>
        <v>19920301.560000006</v>
      </c>
      <c r="GV5" s="29">
        <f>CV5-CX5</f>
        <v>15753894.460000001</v>
      </c>
    </row>
    <row r="6" spans="1:204">
      <c r="B6" s="17"/>
      <c r="C6" s="17"/>
      <c r="D6" s="29"/>
      <c r="E6" s="17"/>
      <c r="F6" s="29"/>
      <c r="G6" s="17"/>
      <c r="H6" s="29"/>
      <c r="I6" s="17"/>
      <c r="J6" s="29"/>
      <c r="K6" s="17"/>
      <c r="L6" s="29"/>
      <c r="M6" s="17"/>
      <c r="N6" s="29"/>
      <c r="O6" s="17"/>
      <c r="P6" s="29"/>
      <c r="Q6" s="17"/>
      <c r="R6" s="29"/>
      <c r="S6" s="17"/>
      <c r="T6" s="29"/>
      <c r="U6" s="17"/>
      <c r="V6" s="29"/>
      <c r="W6" s="17"/>
      <c r="X6" s="29"/>
      <c r="Y6" s="17"/>
      <c r="Z6" s="29"/>
      <c r="AA6" s="17"/>
      <c r="AB6" s="29"/>
      <c r="AC6" s="17"/>
      <c r="AD6" s="29"/>
      <c r="AE6" s="17"/>
      <c r="AF6" s="29"/>
      <c r="AG6" s="17"/>
      <c r="AH6" s="29"/>
      <c r="AI6" s="17"/>
      <c r="AJ6" s="29"/>
      <c r="AK6" s="17"/>
      <c r="AL6" s="29"/>
      <c r="AM6" s="17"/>
      <c r="AN6" s="29"/>
      <c r="AO6" s="17"/>
      <c r="AP6" s="29"/>
      <c r="AQ6" s="17"/>
      <c r="AR6" s="29"/>
      <c r="AS6" s="17"/>
      <c r="AT6" s="29"/>
      <c r="AU6" s="17"/>
      <c r="AV6" s="29"/>
      <c r="AW6" s="17"/>
      <c r="AX6" s="29"/>
      <c r="AY6" s="17"/>
      <c r="AZ6" s="29"/>
      <c r="BA6" s="17"/>
      <c r="BB6" s="29"/>
      <c r="BC6" s="17"/>
      <c r="BD6" s="29"/>
      <c r="BE6" s="17"/>
      <c r="BF6" s="29"/>
      <c r="BG6" s="17"/>
      <c r="BH6" s="29"/>
      <c r="BI6" s="17"/>
      <c r="BJ6" s="29"/>
      <c r="BK6" s="17"/>
      <c r="BL6" s="29"/>
      <c r="BM6" s="17"/>
      <c r="BN6" s="29"/>
      <c r="BO6" s="17"/>
      <c r="BP6" s="29"/>
      <c r="BQ6" s="17"/>
      <c r="BR6" s="29"/>
      <c r="BS6" s="17"/>
      <c r="BT6" s="29"/>
      <c r="BU6" s="17"/>
      <c r="BV6" s="29"/>
      <c r="BW6" s="17"/>
      <c r="BX6" s="29"/>
      <c r="BY6" s="17"/>
      <c r="BZ6" s="29"/>
      <c r="CA6" s="17"/>
      <c r="CB6" s="29"/>
      <c r="CC6" s="17"/>
      <c r="CD6" s="29"/>
      <c r="CE6" s="17"/>
      <c r="CF6" s="29"/>
      <c r="CG6" s="17"/>
      <c r="CH6" s="29"/>
      <c r="CI6" s="17"/>
      <c r="CJ6" s="29"/>
      <c r="CK6" s="17"/>
      <c r="CL6" s="29"/>
      <c r="CM6" s="17"/>
      <c r="CN6" s="29"/>
      <c r="CO6" s="17"/>
      <c r="CP6" s="29"/>
      <c r="CQ6" s="17"/>
      <c r="CR6" s="29"/>
      <c r="CS6" s="17"/>
      <c r="CT6" s="29"/>
      <c r="CU6" s="17"/>
      <c r="CV6" s="29"/>
      <c r="CW6" s="8"/>
      <c r="CX6" s="29"/>
      <c r="CZ6" s="29"/>
      <c r="DA6" s="17"/>
      <c r="DB6" s="29"/>
      <c r="DC6" s="76"/>
      <c r="DD6" s="29"/>
      <c r="DF6" s="29"/>
      <c r="DH6" s="29"/>
      <c r="DJ6" s="29"/>
      <c r="DL6" s="29"/>
      <c r="DN6" s="29"/>
      <c r="DP6" s="29"/>
      <c r="DR6" s="29"/>
      <c r="DT6" s="29"/>
      <c r="DV6" s="29"/>
      <c r="DX6" s="29"/>
      <c r="DZ6" s="29"/>
      <c r="EB6" s="29"/>
      <c r="ED6" s="29"/>
      <c r="EF6" s="29"/>
      <c r="EH6" s="29"/>
      <c r="EJ6" s="29"/>
      <c r="EL6" s="29"/>
      <c r="EN6" s="29"/>
      <c r="EP6" s="29"/>
      <c r="ER6" s="29"/>
      <c r="ET6" s="29"/>
      <c r="EV6" s="29"/>
      <c r="EX6" s="29"/>
      <c r="EZ6" s="29"/>
      <c r="FB6" s="29"/>
      <c r="FD6" s="29"/>
      <c r="FF6" s="29"/>
      <c r="FH6" s="29"/>
      <c r="FJ6" s="29"/>
      <c r="FL6" s="29"/>
      <c r="FN6" s="29"/>
      <c r="FP6" s="29"/>
      <c r="FR6" s="29"/>
      <c r="FT6" s="29"/>
      <c r="FV6" s="29"/>
      <c r="FX6" s="29"/>
      <c r="FZ6" s="29"/>
      <c r="GB6" s="29"/>
      <c r="GD6" s="29"/>
      <c r="GF6" s="29"/>
      <c r="GH6" s="29"/>
      <c r="GJ6" s="29"/>
      <c r="GL6" s="29"/>
      <c r="GN6" s="29"/>
      <c r="GP6" s="29"/>
      <c r="GR6" s="29"/>
      <c r="GT6" s="29"/>
      <c r="GV6" s="29"/>
    </row>
    <row r="7" spans="1:204">
      <c r="B7" s="19" t="s">
        <v>61</v>
      </c>
      <c r="C7" s="19"/>
      <c r="D7" s="30"/>
      <c r="E7" s="19"/>
      <c r="F7" s="30"/>
      <c r="G7" s="19"/>
      <c r="H7" s="30"/>
      <c r="I7" s="19"/>
      <c r="J7" s="30">
        <f>J4+J5</f>
        <v>203128285.74600369</v>
      </c>
      <c r="K7" s="19"/>
      <c r="L7" s="30">
        <f>L4+L5</f>
        <v>624121793.39927006</v>
      </c>
      <c r="M7" s="19"/>
      <c r="N7" s="30">
        <f>N4+N5</f>
        <v>482977524.82832229</v>
      </c>
      <c r="O7" s="19"/>
      <c r="P7" s="30">
        <f>P4+P5</f>
        <v>358998766.30000001</v>
      </c>
      <c r="Q7" s="19"/>
      <c r="R7" s="30">
        <f>R4+R5</f>
        <v>271296122.38095897</v>
      </c>
      <c r="S7" s="19"/>
      <c r="T7" s="30">
        <f>T4+T5</f>
        <v>446871567.98314202</v>
      </c>
      <c r="U7" s="19"/>
      <c r="V7" s="30">
        <f>V4+V5</f>
        <v>311183336.27109027</v>
      </c>
      <c r="W7" s="19"/>
      <c r="X7" s="30">
        <f>X4+X5</f>
        <v>209477628.67155585</v>
      </c>
      <c r="Y7" s="19"/>
      <c r="Z7" s="30">
        <f>Z4+Z5</f>
        <v>143814220.68403333</v>
      </c>
      <c r="AA7" s="19"/>
      <c r="AB7" s="30">
        <f>AB4+AB5</f>
        <v>166860941.07657212</v>
      </c>
      <c r="AC7" s="19"/>
      <c r="AD7" s="30">
        <f>AD4+AD5</f>
        <v>108482383.04560968</v>
      </c>
      <c r="AE7" s="19"/>
      <c r="AF7" s="30">
        <f>AF4+AF5</f>
        <v>72717866.758276999</v>
      </c>
      <c r="AG7" s="19"/>
      <c r="AH7" s="30">
        <f>AH4+AH5</f>
        <v>35421306.200000003</v>
      </c>
      <c r="AI7" s="19"/>
      <c r="AJ7" s="30">
        <f>AJ4+AJ5</f>
        <v>128627450.40999998</v>
      </c>
      <c r="AK7" s="19"/>
      <c r="AL7" s="30">
        <f>AL4+AL5</f>
        <v>76763705.450000003</v>
      </c>
      <c r="AM7" s="19"/>
      <c r="AN7" s="30">
        <f>AN4+AN5</f>
        <v>61041077.380000003</v>
      </c>
      <c r="AO7" s="19"/>
      <c r="AP7" s="30">
        <f>AP4+AP5</f>
        <v>34067605.399999999</v>
      </c>
      <c r="AQ7" s="19"/>
      <c r="AR7" s="30">
        <f>AR4+AR5</f>
        <v>125386200.95</v>
      </c>
      <c r="AS7" s="19"/>
      <c r="AT7" s="30">
        <f>AT4+AT5</f>
        <v>96857264.390000001</v>
      </c>
      <c r="AU7" s="19"/>
      <c r="AV7" s="30">
        <f>AV4+AV5</f>
        <v>74570739.579999998</v>
      </c>
      <c r="AW7" s="19"/>
      <c r="AX7" s="30">
        <f>AX4+AX5</f>
        <v>37590494.859999999</v>
      </c>
      <c r="AY7" s="19"/>
      <c r="AZ7" s="30">
        <f>AZ4+AZ5</f>
        <v>134786623.22</v>
      </c>
      <c r="BA7" s="19"/>
      <c r="BB7" s="30">
        <f>BB4+BB5</f>
        <v>101258314.31999999</v>
      </c>
      <c r="BC7" s="19"/>
      <c r="BD7" s="30">
        <f>BD4+BD5</f>
        <v>84760420.469999999</v>
      </c>
      <c r="BE7" s="19"/>
      <c r="BF7" s="30">
        <f>BF4+BF5</f>
        <v>65952850.690000005</v>
      </c>
      <c r="BG7" s="19"/>
      <c r="BH7" s="30">
        <f>BH4+BH5</f>
        <v>105323138.64999998</v>
      </c>
      <c r="BI7" s="19"/>
      <c r="BJ7" s="30">
        <f>BJ4+BJ5</f>
        <v>81476063.040000007</v>
      </c>
      <c r="BK7" s="19"/>
      <c r="BL7" s="30">
        <f>BL4+BL5</f>
        <v>71338557.379999995</v>
      </c>
      <c r="BM7" s="19"/>
      <c r="BN7" s="30">
        <f>BN4+BN5</f>
        <v>62936485.909999996</v>
      </c>
      <c r="BO7" s="19"/>
      <c r="BP7" s="30">
        <f>BP4+BP5</f>
        <v>28905444.280000001</v>
      </c>
      <c r="BQ7" s="19"/>
      <c r="BR7" s="30">
        <f>BR4+BR5</f>
        <v>17390360.34</v>
      </c>
      <c r="BS7" s="19"/>
      <c r="BT7" s="30">
        <f>BT4+BT5</f>
        <v>7760369.6199999992</v>
      </c>
      <c r="BU7" s="19"/>
      <c r="BV7" s="30">
        <f>BV4+BV5</f>
        <v>49433136.369999997</v>
      </c>
      <c r="BW7" s="19"/>
      <c r="BX7" s="30">
        <f>BX4+BX5</f>
        <v>35235309.899999999</v>
      </c>
      <c r="BY7" s="19"/>
      <c r="BZ7" s="30">
        <f>BZ4+BZ5</f>
        <v>20512975.460000001</v>
      </c>
      <c r="CA7" s="19"/>
      <c r="CB7" s="30">
        <f>CB4+CB5</f>
        <v>7891009.7400000002</v>
      </c>
      <c r="CC7" s="19"/>
      <c r="CD7" s="30">
        <f>CD4+CD5</f>
        <v>83598417.24000001</v>
      </c>
      <c r="CE7" s="19"/>
      <c r="CF7" s="30">
        <f>CF4+CF5</f>
        <v>57986078.329999998</v>
      </c>
      <c r="CG7" s="19"/>
      <c r="CH7" s="30">
        <f>CH4+CH5</f>
        <v>17049751.98</v>
      </c>
      <c r="CI7" s="19"/>
      <c r="CJ7" s="30">
        <f>CJ4+CJ5</f>
        <v>10076719.010000002</v>
      </c>
      <c r="CK7" s="19"/>
      <c r="CL7" s="30">
        <f>CL4+CL5</f>
        <v>78051215.569999993</v>
      </c>
      <c r="CM7" s="19"/>
      <c r="CN7" s="30">
        <f>CN4+CN5</f>
        <v>48112109.829999998</v>
      </c>
      <c r="CO7" s="19"/>
      <c r="CP7" s="30">
        <f>CP4+CP5</f>
        <v>27458688.73</v>
      </c>
      <c r="CQ7" s="19"/>
      <c r="CR7" s="30">
        <f>CR4+CR5</f>
        <v>8835379.5700000003</v>
      </c>
      <c r="CS7" s="19"/>
      <c r="CT7" s="30">
        <f>CT4+CT5</f>
        <v>77375827.62770918</v>
      </c>
      <c r="CU7" s="19"/>
      <c r="CV7" s="30">
        <f>CV4+CV5</f>
        <v>46371052.659999996</v>
      </c>
      <c r="CW7" s="8"/>
      <c r="CX7" s="30">
        <f>CX4+CX5</f>
        <v>22239204.479999997</v>
      </c>
      <c r="CZ7" s="30">
        <f>CZ4+CZ5</f>
        <v>61451512.829999998</v>
      </c>
      <c r="DA7" s="19"/>
      <c r="DB7" s="30">
        <f>DB4+DB5</f>
        <v>45077182.329999998</v>
      </c>
      <c r="DC7" s="77"/>
      <c r="DD7" s="30"/>
      <c r="DF7" s="30"/>
      <c r="DH7" s="30"/>
      <c r="DJ7" s="30">
        <f>DJ4+DJ5</f>
        <v>203128285.74600369</v>
      </c>
      <c r="DL7" s="30">
        <f>DL4+DL5</f>
        <v>141144268.5709478</v>
      </c>
      <c r="DN7" s="30">
        <f>DN4+DN5</f>
        <v>123978758.52832231</v>
      </c>
      <c r="DP7" s="30">
        <f>DP4+DP5</f>
        <v>87702643.919041023</v>
      </c>
      <c r="DR7" s="30">
        <f>DR4+DR5</f>
        <v>271296122.38095897</v>
      </c>
      <c r="DT7" s="30">
        <f>DT4+DT5</f>
        <v>135688231.71205175</v>
      </c>
      <c r="DV7" s="30">
        <f>DV4+DV5</f>
        <v>101705707.59953439</v>
      </c>
      <c r="DX7" s="30">
        <f>DX4+DX5</f>
        <v>65663407.98752252</v>
      </c>
      <c r="DZ7" s="30">
        <f>DZ4+DZ5</f>
        <v>143814220.68403333</v>
      </c>
      <c r="EB7" s="30">
        <f>EB4+EB5</f>
        <v>58378558.030962437</v>
      </c>
      <c r="ED7" s="30">
        <f>ED4+ED5</f>
        <v>35764516.287332691</v>
      </c>
      <c r="EF7" s="30">
        <f>EF4+EF5</f>
        <v>37296560.558276996</v>
      </c>
      <c r="EH7" s="30">
        <f>EH4+EH5</f>
        <v>35421306.200000003</v>
      </c>
      <c r="EJ7" s="30">
        <f>EJ4+EJ5</f>
        <v>51863744.959999979</v>
      </c>
      <c r="EL7" s="30">
        <f>EL4+EL5</f>
        <v>15722628.069999997</v>
      </c>
      <c r="EN7" s="30">
        <f>EN4+EN5</f>
        <v>26973471.980000004</v>
      </c>
      <c r="EP7" s="30">
        <f>EP4+EP5</f>
        <v>34067605.399999999</v>
      </c>
      <c r="ER7" s="30">
        <f>ER4+ER5</f>
        <v>28528936.559999999</v>
      </c>
      <c r="ET7" s="30">
        <f>ET4+ET5</f>
        <v>22286524.809999995</v>
      </c>
      <c r="EV7" s="30">
        <f>EV4+EV5</f>
        <v>36980244.720000006</v>
      </c>
      <c r="EX7" s="30">
        <f>EX4+EX5</f>
        <v>37590494.859999999</v>
      </c>
      <c r="EZ7" s="30">
        <f>EZ4+EZ5</f>
        <v>33528308.899999999</v>
      </c>
      <c r="FB7" s="30">
        <f>FB4+FB5</f>
        <v>16497893.849999996</v>
      </c>
      <c r="FD7" s="30">
        <f>FD4+FD5</f>
        <v>18807569.780000001</v>
      </c>
      <c r="FF7" s="30">
        <f>FF4+FF5</f>
        <v>65952850.690000005</v>
      </c>
      <c r="FH7" s="30">
        <f>FH4+FH5</f>
        <v>23847075.609999977</v>
      </c>
      <c r="FJ7" s="30">
        <f>FJ4+FJ5</f>
        <v>10137505.660000019</v>
      </c>
      <c r="FL7" s="30">
        <f>FL4+FL5</f>
        <v>8402071.4699999914</v>
      </c>
      <c r="FN7" s="30">
        <f>FN4+FN5</f>
        <v>34031041.629999995</v>
      </c>
      <c r="FP7" s="30">
        <f>FP4+FP5</f>
        <v>11515083.940000001</v>
      </c>
      <c r="FR7" s="30">
        <f>FR4+FR5</f>
        <v>9629990.7199999988</v>
      </c>
      <c r="FT7" s="30">
        <f>FT4+FT5</f>
        <v>7760369.6199999992</v>
      </c>
      <c r="FV7" s="30">
        <f>FV4+FV5</f>
        <v>14197826.469999997</v>
      </c>
      <c r="FX7" s="30">
        <f>FX4+FX5</f>
        <v>14722334.439999998</v>
      </c>
      <c r="FZ7" s="30">
        <f>FZ4+FZ5</f>
        <v>12621965.720000003</v>
      </c>
      <c r="GB7" s="30">
        <f>GB4+GB5</f>
        <v>7891009.7400000002</v>
      </c>
      <c r="GD7" s="30">
        <f>GD4+GD5</f>
        <v>25612338.910000004</v>
      </c>
      <c r="GF7" s="30">
        <f>GF4+GF5</f>
        <v>40936326.349999994</v>
      </c>
      <c r="GH7" s="30">
        <f>GH4+GH5</f>
        <v>6973032.9699999997</v>
      </c>
      <c r="GJ7" s="30">
        <f>GJ4+GJ5</f>
        <v>10076719.010000002</v>
      </c>
      <c r="GL7" s="30">
        <f>GL4+GL5</f>
        <v>29939105.739999998</v>
      </c>
      <c r="GN7" s="30">
        <f>GN4+GN5</f>
        <v>20653421.099999998</v>
      </c>
      <c r="GP7" s="30">
        <f>GP4+GP5</f>
        <v>18623309.16</v>
      </c>
      <c r="GR7" s="30">
        <f>GR4+GR5</f>
        <v>8835379.5700000003</v>
      </c>
      <c r="GT7" s="30">
        <f>GT4+GT5</f>
        <v>31004774.96770918</v>
      </c>
      <c r="GV7" s="30">
        <f>GV4+GV5</f>
        <v>24131848.18</v>
      </c>
    </row>
    <row r="8" spans="1:204">
      <c r="B8" s="25"/>
      <c r="C8" s="25"/>
      <c r="D8" s="17"/>
      <c r="E8" s="25"/>
      <c r="F8" s="17"/>
      <c r="G8" s="25"/>
      <c r="H8" s="17"/>
      <c r="I8" s="25"/>
      <c r="J8" s="17"/>
      <c r="K8" s="25"/>
      <c r="L8" s="17"/>
      <c r="M8" s="25"/>
      <c r="N8" s="17"/>
      <c r="O8" s="25"/>
      <c r="P8" s="17"/>
      <c r="Q8" s="25"/>
      <c r="R8" s="17"/>
      <c r="S8" s="25"/>
      <c r="T8" s="17"/>
      <c r="U8" s="25"/>
      <c r="V8" s="17"/>
      <c r="W8" s="25"/>
      <c r="X8" s="17"/>
      <c r="Y8" s="25"/>
      <c r="Z8" s="17"/>
      <c r="AA8" s="25"/>
      <c r="AB8" s="17"/>
      <c r="AC8" s="25"/>
      <c r="AD8" s="17"/>
      <c r="AE8" s="25"/>
      <c r="AF8" s="17"/>
      <c r="AG8" s="25"/>
      <c r="AH8" s="17"/>
      <c r="AI8" s="25"/>
      <c r="AJ8" s="17"/>
      <c r="AK8" s="25"/>
      <c r="AL8" s="17"/>
      <c r="AM8" s="25"/>
      <c r="AN8" s="17"/>
      <c r="AO8" s="25"/>
      <c r="AP8" s="17"/>
      <c r="AQ8" s="25"/>
      <c r="AR8" s="17"/>
      <c r="AS8" s="25"/>
      <c r="AT8" s="17"/>
      <c r="AU8" s="25"/>
      <c r="AV8" s="17"/>
      <c r="AW8" s="25"/>
      <c r="AX8" s="17"/>
      <c r="AY8" s="25"/>
      <c r="AZ8" s="17"/>
      <c r="BA8" s="25"/>
      <c r="BB8" s="17"/>
      <c r="BC8" s="25"/>
      <c r="BD8" s="17"/>
      <c r="BE8" s="25"/>
      <c r="BF8" s="17"/>
      <c r="BG8" s="25"/>
      <c r="BH8" s="17"/>
      <c r="BI8" s="25"/>
      <c r="BJ8" s="17"/>
      <c r="BK8" s="25"/>
      <c r="BL8" s="17"/>
      <c r="BM8" s="25"/>
      <c r="BN8" s="17"/>
      <c r="BO8" s="25"/>
      <c r="BP8" s="17"/>
      <c r="BQ8" s="25"/>
      <c r="BR8" s="17"/>
      <c r="BS8" s="25"/>
      <c r="BT8" s="17"/>
      <c r="BU8" s="25"/>
      <c r="BV8" s="17"/>
      <c r="BW8" s="25"/>
      <c r="BX8" s="17"/>
      <c r="BY8" s="25"/>
      <c r="BZ8" s="17"/>
      <c r="CA8" s="25"/>
      <c r="CB8" s="17"/>
      <c r="CC8" s="25"/>
      <c r="CD8" s="17"/>
      <c r="CE8" s="25"/>
      <c r="CF8" s="17"/>
      <c r="CG8" s="25"/>
      <c r="CH8" s="17"/>
      <c r="CI8" s="25"/>
      <c r="CJ8" s="17"/>
      <c r="CK8" s="25"/>
      <c r="CL8" s="17"/>
      <c r="CM8" s="25"/>
      <c r="CN8" s="17"/>
      <c r="CO8" s="25"/>
      <c r="CP8" s="17"/>
      <c r="CQ8" s="25"/>
      <c r="CR8" s="17"/>
      <c r="CS8" s="25"/>
      <c r="CT8" s="17"/>
      <c r="CU8" s="25"/>
      <c r="CV8" s="17"/>
      <c r="CW8" s="8"/>
      <c r="CX8" s="17"/>
      <c r="CZ8" s="17"/>
      <c r="DA8" s="25"/>
      <c r="DB8" s="17"/>
      <c r="DC8" s="78"/>
      <c r="DD8" s="17"/>
      <c r="DF8" s="17"/>
      <c r="DH8" s="17"/>
      <c r="DJ8" s="17"/>
      <c r="DL8" s="17"/>
      <c r="DN8" s="17"/>
      <c r="DP8" s="17"/>
      <c r="DR8" s="17"/>
      <c r="DT8" s="17"/>
      <c r="DV8" s="17"/>
      <c r="DX8" s="17"/>
      <c r="DZ8" s="17"/>
      <c r="EB8" s="17"/>
      <c r="ED8" s="17"/>
      <c r="EF8" s="17"/>
      <c r="EH8" s="17"/>
      <c r="EJ8" s="17"/>
      <c r="EL8" s="17"/>
      <c r="EN8" s="17"/>
      <c r="EP8" s="17"/>
      <c r="ER8" s="17"/>
      <c r="ET8" s="17"/>
      <c r="EV8" s="17"/>
      <c r="EX8" s="17"/>
      <c r="EZ8" s="17"/>
      <c r="FB8" s="17"/>
      <c r="FD8" s="17"/>
      <c r="FF8" s="17"/>
      <c r="FH8" s="17"/>
      <c r="FJ8" s="139"/>
      <c r="FL8" s="17"/>
      <c r="FN8" s="17"/>
      <c r="FP8" s="17"/>
      <c r="FR8" s="17"/>
      <c r="FT8" s="17"/>
      <c r="FV8" s="17"/>
      <c r="FX8" s="17"/>
      <c r="FZ8" s="17"/>
      <c r="GB8" s="17"/>
      <c r="GD8" s="17"/>
      <c r="GF8" s="17"/>
      <c r="GH8" s="17"/>
      <c r="GJ8" s="17"/>
      <c r="GL8" s="17"/>
      <c r="GN8" s="17"/>
      <c r="GP8" s="17"/>
      <c r="GR8" s="17"/>
      <c r="GT8" s="17"/>
      <c r="GV8" s="17"/>
    </row>
    <row r="9" spans="1:204">
      <c r="B9" s="26" t="s">
        <v>164</v>
      </c>
      <c r="C9" s="26"/>
      <c r="D9" s="29"/>
      <c r="E9" s="26"/>
      <c r="F9" s="29"/>
      <c r="G9" s="26"/>
      <c r="H9" s="29"/>
      <c r="I9" s="26"/>
      <c r="J9" s="29">
        <v>0</v>
      </c>
      <c r="K9" s="26"/>
      <c r="L9" s="29">
        <v>0</v>
      </c>
      <c r="M9" s="26"/>
      <c r="N9" s="29">
        <v>0</v>
      </c>
      <c r="O9" s="26"/>
      <c r="P9" s="29">
        <v>0</v>
      </c>
      <c r="Q9" s="26"/>
      <c r="R9" s="29">
        <v>0</v>
      </c>
      <c r="S9" s="26"/>
      <c r="T9" s="29">
        <v>0</v>
      </c>
      <c r="U9" s="26"/>
      <c r="V9" s="29">
        <v>0</v>
      </c>
      <c r="W9" s="26"/>
      <c r="X9" s="29">
        <v>0</v>
      </c>
      <c r="Y9" s="26"/>
      <c r="Z9" s="29">
        <v>0</v>
      </c>
      <c r="AA9" s="26"/>
      <c r="AB9" s="29">
        <v>0</v>
      </c>
      <c r="AC9" s="26"/>
      <c r="AD9" s="29"/>
      <c r="AE9" s="26"/>
      <c r="AF9" s="29">
        <v>0</v>
      </c>
      <c r="AG9" s="26"/>
      <c r="AH9" s="29">
        <v>0</v>
      </c>
      <c r="AI9" s="26"/>
      <c r="AJ9" s="29">
        <v>0</v>
      </c>
      <c r="AK9" s="26"/>
      <c r="AL9" s="29">
        <v>0</v>
      </c>
      <c r="AM9" s="26"/>
      <c r="AN9" s="29">
        <v>0</v>
      </c>
      <c r="AO9" s="26"/>
      <c r="AP9" s="29">
        <v>0</v>
      </c>
      <c r="AQ9" s="26"/>
      <c r="AR9" s="29">
        <v>0</v>
      </c>
      <c r="AS9" s="26"/>
      <c r="AT9" s="29">
        <v>0</v>
      </c>
      <c r="AU9" s="26"/>
      <c r="AV9" s="29">
        <v>0</v>
      </c>
      <c r="AW9" s="26"/>
      <c r="AX9" s="29">
        <v>0</v>
      </c>
      <c r="AY9" s="26"/>
      <c r="AZ9" s="29">
        <v>0</v>
      </c>
      <c r="BA9" s="26"/>
      <c r="BB9" s="29">
        <v>0</v>
      </c>
      <c r="BC9" s="26"/>
      <c r="BD9" s="29">
        <v>0</v>
      </c>
      <c r="BE9" s="26"/>
      <c r="BF9" s="29"/>
      <c r="BG9" s="26"/>
      <c r="BH9" s="29">
        <v>0</v>
      </c>
      <c r="BI9" s="26"/>
      <c r="BJ9" s="29">
        <v>0</v>
      </c>
      <c r="BK9" s="26"/>
      <c r="BL9" s="29">
        <v>0</v>
      </c>
      <c r="BM9" s="26"/>
      <c r="BN9" s="29">
        <v>0</v>
      </c>
      <c r="BO9" s="26"/>
      <c r="BP9" s="29">
        <v>0</v>
      </c>
      <c r="BQ9" s="26"/>
      <c r="BR9" s="29"/>
      <c r="BS9" s="26"/>
      <c r="BT9" s="29"/>
      <c r="BU9" s="26"/>
      <c r="BV9" s="29"/>
      <c r="BW9" s="26"/>
      <c r="BX9" s="29"/>
      <c r="BY9" s="26"/>
      <c r="BZ9" s="29"/>
      <c r="CA9" s="26"/>
      <c r="CB9" s="29"/>
      <c r="CC9" s="26"/>
      <c r="CD9" s="29"/>
      <c r="CE9" s="26"/>
      <c r="CF9" s="29"/>
      <c r="CG9" s="26"/>
      <c r="CH9" s="29"/>
      <c r="CI9" s="26"/>
      <c r="CJ9" s="29"/>
      <c r="CK9" s="26"/>
      <c r="CL9" s="29"/>
      <c r="CM9" s="26"/>
      <c r="CN9" s="29">
        <v>0</v>
      </c>
      <c r="CO9" s="26"/>
      <c r="CP9" s="29">
        <v>0</v>
      </c>
      <c r="CQ9" s="26"/>
      <c r="CR9" s="29">
        <v>0</v>
      </c>
      <c r="CS9" s="26"/>
      <c r="CT9" s="29">
        <v>0</v>
      </c>
      <c r="CU9" s="26"/>
      <c r="CV9" s="29">
        <v>0</v>
      </c>
      <c r="CW9" s="26"/>
      <c r="CX9" s="29">
        <v>0</v>
      </c>
      <c r="CZ9" s="29"/>
      <c r="DA9" s="26"/>
      <c r="DB9" s="29"/>
      <c r="DC9" s="75"/>
      <c r="DD9" s="29"/>
      <c r="DF9" s="29"/>
      <c r="DH9" s="29"/>
      <c r="DJ9" s="29">
        <f t="shared" ref="DJ9:DJ18" si="0">J9</f>
        <v>0</v>
      </c>
      <c r="DL9" s="29">
        <f t="shared" ref="DL9:DP18" si="1">L9-N9</f>
        <v>0</v>
      </c>
      <c r="DN9" s="29">
        <f t="shared" si="1"/>
        <v>0</v>
      </c>
      <c r="DP9" s="29">
        <f t="shared" si="1"/>
        <v>0</v>
      </c>
      <c r="DR9" s="29">
        <f t="shared" ref="DR9:DR18" si="2">R9</f>
        <v>0</v>
      </c>
      <c r="DT9" s="29">
        <f t="shared" ref="DT9:DX18" si="3">T9-V9</f>
        <v>0</v>
      </c>
      <c r="DV9" s="29">
        <f t="shared" si="3"/>
        <v>0</v>
      </c>
      <c r="DX9" s="29">
        <f t="shared" si="3"/>
        <v>0</v>
      </c>
      <c r="DZ9" s="29">
        <f t="shared" ref="DZ9:DZ18" si="4">Z9</f>
        <v>0</v>
      </c>
      <c r="EB9" s="29">
        <f t="shared" ref="EB9:EF18" si="5">AB9-AD9</f>
        <v>0</v>
      </c>
      <c r="ED9" s="29">
        <f t="shared" si="5"/>
        <v>0</v>
      </c>
      <c r="EF9" s="29">
        <f t="shared" si="5"/>
        <v>0</v>
      </c>
      <c r="EH9" s="29">
        <f t="shared" ref="EH9:EH18" si="6">AH9</f>
        <v>0</v>
      </c>
      <c r="EJ9" s="29">
        <f t="shared" ref="EJ9:EL18" si="7">AJ9-AL9</f>
        <v>0</v>
      </c>
      <c r="EL9" s="29">
        <f t="shared" si="7"/>
        <v>0</v>
      </c>
      <c r="EN9" s="29">
        <f t="shared" ref="EN9:EN18" si="8">AN9-AP9</f>
        <v>0</v>
      </c>
      <c r="EP9" s="29">
        <f t="shared" ref="EP9:EP18" si="9">AP9</f>
        <v>0</v>
      </c>
      <c r="ER9" s="29">
        <f t="shared" ref="ER9:ER18" si="10">AR9-AT9</f>
        <v>0</v>
      </c>
      <c r="ET9" s="29">
        <f t="shared" ref="ET9:ET18" si="11">AT9-AV9</f>
        <v>0</v>
      </c>
      <c r="EV9" s="29">
        <f t="shared" ref="EV9:EV18" si="12">AV9-AX9</f>
        <v>0</v>
      </c>
      <c r="EX9" s="29">
        <f t="shared" ref="EX9:EX18" si="13">AX9</f>
        <v>0</v>
      </c>
      <c r="EZ9" s="29">
        <f t="shared" ref="EZ9:EZ18" si="14">AZ9-BB9</f>
        <v>0</v>
      </c>
      <c r="FB9" s="29">
        <f t="shared" ref="FB9:FB18" si="15">BB9-BD9</f>
        <v>0</v>
      </c>
      <c r="FD9" s="29">
        <f t="shared" ref="FD9:FD18" si="16">BD9-BF9</f>
        <v>0</v>
      </c>
      <c r="FF9" s="29">
        <f t="shared" ref="FF9:FF18" si="17">BF9</f>
        <v>0</v>
      </c>
      <c r="FH9" s="29">
        <f>BH9-BJ9</f>
        <v>0</v>
      </c>
      <c r="FJ9" s="29">
        <f t="shared" ref="FJ9:FJ18" si="18">BJ9-BL9</f>
        <v>0</v>
      </c>
      <c r="FL9" s="29">
        <f t="shared" ref="FL9:FL18" si="19">BL9-BN9</f>
        <v>0</v>
      </c>
      <c r="FN9" s="29">
        <f t="shared" ref="FN9:FN15" si="20">BN9-BP9</f>
        <v>0</v>
      </c>
      <c r="FP9" s="29">
        <f t="shared" ref="FP9:FP15" si="21">BP9-BR9</f>
        <v>0</v>
      </c>
      <c r="FR9" s="29">
        <f t="shared" ref="FR9:FR15" si="22">BR9-BT9</f>
        <v>0</v>
      </c>
      <c r="FT9" s="29">
        <f t="shared" ref="FT9:FT15" si="23">BT9</f>
        <v>0</v>
      </c>
      <c r="FV9" s="29">
        <f t="shared" ref="FV9:FV15" si="24">BV9-BX9</f>
        <v>0</v>
      </c>
      <c r="FX9" s="29">
        <f t="shared" ref="FX9:FX15" si="25">BX9-BZ9</f>
        <v>0</v>
      </c>
      <c r="FZ9" s="29">
        <f t="shared" ref="FZ9:FZ15" si="26">BZ9-CB9</f>
        <v>0</v>
      </c>
      <c r="GB9" s="29">
        <f t="shared" ref="GB9:GB15" si="27">CB9</f>
        <v>0</v>
      </c>
      <c r="GD9" s="29">
        <f t="shared" ref="GD9:GD15" si="28">CD9-CF9</f>
        <v>0</v>
      </c>
      <c r="GF9" s="29">
        <f t="shared" ref="GF9:GF15" si="29">CF9-CH9</f>
        <v>0</v>
      </c>
      <c r="GH9" s="29">
        <f t="shared" ref="GH9:GH15" si="30">CH9-CJ9</f>
        <v>0</v>
      </c>
      <c r="GJ9" s="29">
        <f t="shared" ref="GJ9:GJ15" si="31">CJ9</f>
        <v>0</v>
      </c>
      <c r="GL9" s="29">
        <f t="shared" ref="GL9:GL15" si="32">CL9-CN9</f>
        <v>0</v>
      </c>
      <c r="GN9" s="29">
        <f t="shared" ref="GN9:GN15" si="33">CN9-CP9</f>
        <v>0</v>
      </c>
      <c r="GP9" s="29">
        <f t="shared" ref="GP9:GP15" si="34">CP9-CR9</f>
        <v>0</v>
      </c>
      <c r="GR9" s="29">
        <f t="shared" ref="GR9:GR15" si="35">CR9</f>
        <v>0</v>
      </c>
      <c r="GT9" s="29">
        <f t="shared" ref="GT9:GT18" si="36">CT9-CV9</f>
        <v>0</v>
      </c>
      <c r="GV9" s="29">
        <f t="shared" ref="GV9:GV18" si="37">CV9-CX9</f>
        <v>0</v>
      </c>
    </row>
    <row r="10" spans="1:204">
      <c r="B10" s="26" t="s">
        <v>165</v>
      </c>
      <c r="C10" s="26"/>
      <c r="D10" s="29"/>
      <c r="E10" s="26"/>
      <c r="F10" s="29"/>
      <c r="G10" s="26"/>
      <c r="H10" s="29"/>
      <c r="I10" s="26"/>
      <c r="J10" s="29">
        <v>0</v>
      </c>
      <c r="K10" s="26"/>
      <c r="L10" s="29">
        <v>0</v>
      </c>
      <c r="M10" s="26"/>
      <c r="N10" s="29">
        <v>0</v>
      </c>
      <c r="O10" s="26"/>
      <c r="P10" s="29">
        <v>0</v>
      </c>
      <c r="Q10" s="26"/>
      <c r="R10" s="29">
        <v>0</v>
      </c>
      <c r="S10" s="26"/>
      <c r="T10" s="29">
        <v>0</v>
      </c>
      <c r="U10" s="26"/>
      <c r="V10" s="29">
        <v>0</v>
      </c>
      <c r="W10" s="26"/>
      <c r="X10" s="29">
        <v>0</v>
      </c>
      <c r="Y10" s="26"/>
      <c r="Z10" s="29">
        <v>0</v>
      </c>
      <c r="AA10" s="26"/>
      <c r="AB10" s="29">
        <v>0</v>
      </c>
      <c r="AC10" s="26"/>
      <c r="AD10" s="29">
        <v>0</v>
      </c>
      <c r="AE10" s="26"/>
      <c r="AF10" s="29">
        <v>0</v>
      </c>
      <c r="AG10" s="26"/>
      <c r="AH10" s="29">
        <v>0</v>
      </c>
      <c r="AI10" s="26"/>
      <c r="AJ10" s="29">
        <v>0</v>
      </c>
      <c r="AK10" s="26"/>
      <c r="AL10" s="29">
        <v>0</v>
      </c>
      <c r="AM10" s="26"/>
      <c r="AN10" s="29">
        <v>0</v>
      </c>
      <c r="AO10" s="26"/>
      <c r="AP10" s="29">
        <v>0</v>
      </c>
      <c r="AQ10" s="26"/>
      <c r="AR10" s="29">
        <v>0</v>
      </c>
      <c r="AS10" s="26"/>
      <c r="AT10" s="29">
        <v>0</v>
      </c>
      <c r="AU10" s="26"/>
      <c r="AV10" s="29">
        <v>0</v>
      </c>
      <c r="AW10" s="26"/>
      <c r="AX10" s="29">
        <v>0</v>
      </c>
      <c r="AY10" s="26"/>
      <c r="AZ10" s="29">
        <v>0</v>
      </c>
      <c r="BA10" s="26"/>
      <c r="BB10" s="29">
        <v>0</v>
      </c>
      <c r="BC10" s="26"/>
      <c r="BD10" s="29">
        <v>0</v>
      </c>
      <c r="BE10" s="26"/>
      <c r="BF10" s="29">
        <v>0</v>
      </c>
      <c r="BG10" s="26"/>
      <c r="BH10" s="29">
        <v>0</v>
      </c>
      <c r="BI10" s="26"/>
      <c r="BJ10" s="29">
        <v>0</v>
      </c>
      <c r="BK10" s="26"/>
      <c r="BL10" s="29">
        <v>0</v>
      </c>
      <c r="BM10" s="26"/>
      <c r="BN10" s="29">
        <v>0</v>
      </c>
      <c r="BO10" s="26"/>
      <c r="BP10" s="29">
        <v>0</v>
      </c>
      <c r="BQ10" s="26"/>
      <c r="BR10" s="29"/>
      <c r="BS10" s="26"/>
      <c r="BT10" s="29"/>
      <c r="BU10" s="26"/>
      <c r="BV10" s="29"/>
      <c r="BW10" s="26"/>
      <c r="BX10" s="29"/>
      <c r="BY10" s="26"/>
      <c r="BZ10" s="29"/>
      <c r="CA10" s="26"/>
      <c r="CB10" s="29"/>
      <c r="CC10" s="26"/>
      <c r="CD10" s="29"/>
      <c r="CE10" s="26"/>
      <c r="CF10" s="29"/>
      <c r="CG10" s="26"/>
      <c r="CH10" s="29"/>
      <c r="CI10" s="26"/>
      <c r="CJ10" s="29"/>
      <c r="CK10" s="26"/>
      <c r="CL10" s="29"/>
      <c r="CM10" s="26"/>
      <c r="CN10" s="29">
        <v>1128947.68</v>
      </c>
      <c r="CO10" s="26"/>
      <c r="CP10" s="29">
        <v>594508.12</v>
      </c>
      <c r="CQ10" s="26"/>
      <c r="CR10" s="29">
        <v>476554.1</v>
      </c>
      <c r="CS10" s="26"/>
      <c r="CT10" s="29">
        <v>987179.79</v>
      </c>
      <c r="CU10" s="26"/>
      <c r="CV10" s="29">
        <v>292305.42</v>
      </c>
      <c r="CW10" s="25"/>
      <c r="CX10" s="29">
        <v>129400.31</v>
      </c>
      <c r="DC10" s="75"/>
      <c r="DD10" s="29"/>
      <c r="DE10" s="7"/>
      <c r="DF10" s="29"/>
      <c r="DG10" s="7"/>
      <c r="DH10" s="29"/>
      <c r="DI10" s="7"/>
      <c r="DJ10" s="29">
        <f t="shared" si="0"/>
        <v>0</v>
      </c>
      <c r="DK10" s="7"/>
      <c r="DL10" s="29">
        <f t="shared" si="1"/>
        <v>0</v>
      </c>
      <c r="DM10" s="7"/>
      <c r="DN10" s="29">
        <f t="shared" si="1"/>
        <v>0</v>
      </c>
      <c r="DO10" s="7"/>
      <c r="DP10" s="29">
        <f t="shared" si="1"/>
        <v>0</v>
      </c>
      <c r="DQ10" s="7"/>
      <c r="DR10" s="29">
        <f t="shared" si="2"/>
        <v>0</v>
      </c>
      <c r="DS10" s="7"/>
      <c r="DT10" s="29">
        <f t="shared" si="3"/>
        <v>0</v>
      </c>
      <c r="DU10" s="7"/>
      <c r="DV10" s="29">
        <f t="shared" si="3"/>
        <v>0</v>
      </c>
      <c r="DW10" s="7"/>
      <c r="DX10" s="29">
        <f t="shared" si="3"/>
        <v>0</v>
      </c>
      <c r="DY10" s="7"/>
      <c r="DZ10" s="29">
        <f t="shared" si="4"/>
        <v>0</v>
      </c>
      <c r="EA10" s="7"/>
      <c r="EB10" s="29">
        <f t="shared" si="5"/>
        <v>0</v>
      </c>
      <c r="EC10" s="7"/>
      <c r="ED10" s="29">
        <f t="shared" si="5"/>
        <v>0</v>
      </c>
      <c r="EE10" s="7"/>
      <c r="EF10" s="29">
        <f t="shared" si="5"/>
        <v>0</v>
      </c>
      <c r="EG10" s="7"/>
      <c r="EH10" s="29">
        <f t="shared" si="6"/>
        <v>0</v>
      </c>
      <c r="EI10" s="7"/>
      <c r="EJ10" s="29">
        <f t="shared" si="7"/>
        <v>0</v>
      </c>
      <c r="EK10" s="7"/>
      <c r="EL10" s="29">
        <f t="shared" si="7"/>
        <v>0</v>
      </c>
      <c r="EM10" s="7"/>
      <c r="EN10" s="29">
        <f t="shared" si="8"/>
        <v>0</v>
      </c>
      <c r="EO10" s="7"/>
      <c r="EP10" s="29">
        <f t="shared" si="9"/>
        <v>0</v>
      </c>
      <c r="EQ10" s="7"/>
      <c r="ER10" s="29">
        <f t="shared" si="10"/>
        <v>0</v>
      </c>
      <c r="ES10" s="7"/>
      <c r="ET10" s="29">
        <f t="shared" si="11"/>
        <v>0</v>
      </c>
      <c r="EU10" s="7"/>
      <c r="EV10" s="29">
        <f t="shared" si="12"/>
        <v>0</v>
      </c>
      <c r="EW10" s="7"/>
      <c r="EX10" s="29">
        <f t="shared" si="13"/>
        <v>0</v>
      </c>
      <c r="EY10" s="7"/>
      <c r="EZ10" s="29">
        <f t="shared" si="14"/>
        <v>0</v>
      </c>
      <c r="FA10" s="7"/>
      <c r="FB10" s="29">
        <f t="shared" si="15"/>
        <v>0</v>
      </c>
      <c r="FC10" s="7"/>
      <c r="FD10" s="29">
        <f t="shared" si="16"/>
        <v>0</v>
      </c>
      <c r="FE10" s="7"/>
      <c r="FF10" s="29">
        <f t="shared" si="17"/>
        <v>0</v>
      </c>
      <c r="FG10" s="7"/>
      <c r="FH10" s="29">
        <f>BH10-BJ10</f>
        <v>0</v>
      </c>
      <c r="FI10" s="7"/>
      <c r="FJ10" s="29">
        <f t="shared" si="18"/>
        <v>0</v>
      </c>
      <c r="FK10" s="7"/>
      <c r="FL10" s="29">
        <f t="shared" si="19"/>
        <v>0</v>
      </c>
      <c r="FM10" s="7"/>
      <c r="FN10" s="29">
        <f t="shared" si="20"/>
        <v>0</v>
      </c>
      <c r="FO10" s="7"/>
      <c r="FP10" s="29">
        <f t="shared" si="21"/>
        <v>0</v>
      </c>
      <c r="FQ10" s="7"/>
      <c r="FR10" s="29">
        <f t="shared" si="22"/>
        <v>0</v>
      </c>
      <c r="FS10" s="7"/>
      <c r="FT10" s="29">
        <f t="shared" si="23"/>
        <v>0</v>
      </c>
      <c r="FU10" s="7"/>
      <c r="FV10" s="29">
        <f t="shared" si="24"/>
        <v>0</v>
      </c>
      <c r="FW10" s="7"/>
      <c r="FX10" s="29">
        <f t="shared" si="25"/>
        <v>0</v>
      </c>
      <c r="FY10" s="7"/>
      <c r="FZ10" s="29">
        <f t="shared" si="26"/>
        <v>0</v>
      </c>
      <c r="GA10" s="7"/>
      <c r="GB10" s="29">
        <f t="shared" si="27"/>
        <v>0</v>
      </c>
      <c r="GC10" s="7"/>
      <c r="GD10" s="29">
        <f t="shared" si="28"/>
        <v>0</v>
      </c>
      <c r="GE10" s="7"/>
      <c r="GF10" s="29">
        <f t="shared" si="29"/>
        <v>0</v>
      </c>
      <c r="GG10" s="7"/>
      <c r="GH10" s="29">
        <f t="shared" si="30"/>
        <v>0</v>
      </c>
      <c r="GI10" s="7"/>
      <c r="GJ10" s="29">
        <f t="shared" si="31"/>
        <v>0</v>
      </c>
      <c r="GK10" s="7"/>
      <c r="GL10" s="29">
        <f t="shared" si="32"/>
        <v>-1128947.68</v>
      </c>
      <c r="GM10" s="7"/>
      <c r="GN10" s="29">
        <f t="shared" si="33"/>
        <v>534439.55999999994</v>
      </c>
      <c r="GO10" s="7"/>
      <c r="GP10" s="29">
        <f t="shared" si="34"/>
        <v>117954.02000000002</v>
      </c>
      <c r="GR10" s="29">
        <f t="shared" si="35"/>
        <v>476554.1</v>
      </c>
      <c r="GS10" s="7"/>
      <c r="GT10" s="29">
        <f t="shared" si="36"/>
        <v>694874.37000000011</v>
      </c>
      <c r="GU10" s="7"/>
      <c r="GV10" s="29">
        <f t="shared" si="37"/>
        <v>162905.10999999999</v>
      </c>
    </row>
    <row r="11" spans="1:204">
      <c r="B11" s="26" t="s">
        <v>62</v>
      </c>
      <c r="C11" s="26"/>
      <c r="D11" s="29"/>
      <c r="E11" s="26"/>
      <c r="F11" s="29"/>
      <c r="G11" s="26"/>
      <c r="H11" s="29"/>
      <c r="I11" s="26"/>
      <c r="J11" s="29">
        <v>-4990178.2267404059</v>
      </c>
      <c r="K11" s="26"/>
      <c r="L11" s="29">
        <v>-16533066.450162869</v>
      </c>
      <c r="M11" s="26"/>
      <c r="N11" s="29">
        <v>-11865260.350126253</v>
      </c>
      <c r="O11" s="26"/>
      <c r="P11" s="29">
        <v>-7933127.2599999998</v>
      </c>
      <c r="Q11" s="26"/>
      <c r="R11" s="29">
        <v>-3946245.2553768107</v>
      </c>
      <c r="S11" s="26"/>
      <c r="T11" s="29">
        <v>-14778067.192818191</v>
      </c>
      <c r="U11" s="26"/>
      <c r="V11" s="29">
        <v>-10884864.448444633</v>
      </c>
      <c r="W11" s="26"/>
      <c r="X11" s="29">
        <v>-7068862.0237887455</v>
      </c>
      <c r="Y11" s="26"/>
      <c r="Z11" s="29">
        <v>-3414092.7805945883</v>
      </c>
      <c r="AA11" s="26"/>
      <c r="AB11" s="29">
        <v>-12039471.724116094</v>
      </c>
      <c r="AC11" s="26"/>
      <c r="AD11" s="29">
        <v>-8472236.5663888678</v>
      </c>
      <c r="AE11" s="26"/>
      <c r="AF11" s="29">
        <v>-5086553.1031200076</v>
      </c>
      <c r="AG11" s="26"/>
      <c r="AH11" s="29">
        <v>-2080123.497535232</v>
      </c>
      <c r="AI11" s="26"/>
      <c r="AJ11" s="29">
        <v>-7974841.9000000004</v>
      </c>
      <c r="AK11" s="26"/>
      <c r="AL11" s="29">
        <v>-5947199.0798109239</v>
      </c>
      <c r="AM11" s="26"/>
      <c r="AN11" s="29">
        <v>-3844139.4973549205</v>
      </c>
      <c r="AO11" s="26"/>
      <c r="AP11" s="29">
        <v>-1809698.1521634522</v>
      </c>
      <c r="AQ11" s="26"/>
      <c r="AR11" s="29">
        <v>-6536443.0292955954</v>
      </c>
      <c r="AS11" s="26"/>
      <c r="AT11" s="29">
        <v>-4793140.9929231144</v>
      </c>
      <c r="AU11" s="26"/>
      <c r="AV11" s="29">
        <v>-3162437.6468350654</v>
      </c>
      <c r="AW11" s="26"/>
      <c r="AX11" s="29">
        <v>-1581047.9057400199</v>
      </c>
      <c r="AY11" s="26"/>
      <c r="AZ11" s="29">
        <v>-5236351.07</v>
      </c>
      <c r="BA11" s="26"/>
      <c r="BB11" s="29">
        <v>-3977472.6149999998</v>
      </c>
      <c r="BC11" s="26"/>
      <c r="BD11" s="29">
        <v>-2663004.35</v>
      </c>
      <c r="BE11" s="26"/>
      <c r="BF11" s="29">
        <v>-1335952.2650000001</v>
      </c>
      <c r="BG11" s="26"/>
      <c r="BH11" s="29">
        <v>-7352568.0199999996</v>
      </c>
      <c r="BI11" s="26"/>
      <c r="BJ11" s="29">
        <v>-4273418.0452916659</v>
      </c>
      <c r="BK11" s="26"/>
      <c r="BL11" s="29">
        <v>-3207617.9271666668</v>
      </c>
      <c r="BM11" s="26"/>
      <c r="BN11" s="29">
        <v>-2484634.5097916666</v>
      </c>
      <c r="BO11" s="26"/>
      <c r="BP11" s="29">
        <v>-1832565.1339166667</v>
      </c>
      <c r="BQ11" s="26"/>
      <c r="BR11" s="29">
        <v>-1197372.93</v>
      </c>
      <c r="BS11" s="26"/>
      <c r="BT11" s="29">
        <v>-595759.79999999993</v>
      </c>
      <c r="BU11" s="26"/>
      <c r="BV11" s="29">
        <v>-2090400.42</v>
      </c>
      <c r="BW11" s="26"/>
      <c r="BX11" s="29">
        <v>-1589199.75</v>
      </c>
      <c r="BY11" s="26"/>
      <c r="BZ11" s="29">
        <v>-1051188.3599999999</v>
      </c>
      <c r="CA11" s="26"/>
      <c r="CB11" s="29">
        <v>-545944.28</v>
      </c>
      <c r="CC11" s="26"/>
      <c r="CD11" s="29">
        <v>-4345658.71</v>
      </c>
      <c r="CE11" s="26"/>
      <c r="CF11" s="29">
        <v>-3281355.0300000003</v>
      </c>
      <c r="CG11" s="26"/>
      <c r="CH11" s="29">
        <v>-2174657.4300000002</v>
      </c>
      <c r="CI11" s="26"/>
      <c r="CJ11" s="29">
        <v>-1088796.0499999998</v>
      </c>
      <c r="CK11" s="26"/>
      <c r="CL11" s="29">
        <v>-3893342.44</v>
      </c>
      <c r="CM11" s="26"/>
      <c r="CN11" s="29">
        <v>-2832438.6905993093</v>
      </c>
      <c r="CO11" s="26"/>
      <c r="CP11" s="29">
        <v>-1753625.1170662062</v>
      </c>
      <c r="CQ11" s="26"/>
      <c r="CR11" s="29">
        <v>-767455.74353310303</v>
      </c>
      <c r="CS11" s="26"/>
      <c r="CT11" s="29">
        <v>-3044238.4941324121</v>
      </c>
      <c r="CU11" s="26"/>
      <c r="CV11" s="29">
        <v>-2283614.5905993092</v>
      </c>
      <c r="CW11" s="26"/>
      <c r="CX11" s="29">
        <v>-1502633.2570662061</v>
      </c>
      <c r="CZ11" s="29">
        <v>-2957787.8041324099</v>
      </c>
      <c r="DA11" s="26"/>
      <c r="DB11" s="29">
        <v>-1051047.1400000001</v>
      </c>
      <c r="DC11" s="75"/>
      <c r="DD11" s="29"/>
      <c r="DE11" s="7"/>
      <c r="DF11" s="29"/>
      <c r="DG11" s="7"/>
      <c r="DH11" s="29"/>
      <c r="DI11" s="7"/>
      <c r="DJ11" s="29">
        <f t="shared" si="0"/>
        <v>-4990178.2267404059</v>
      </c>
      <c r="DK11" s="7"/>
      <c r="DL11" s="29">
        <f t="shared" si="1"/>
        <v>-4667806.1000366155</v>
      </c>
      <c r="DM11" s="7"/>
      <c r="DN11" s="29">
        <f t="shared" si="1"/>
        <v>-3932133.0901262537</v>
      </c>
      <c r="DO11" s="7"/>
      <c r="DP11" s="29">
        <f t="shared" si="1"/>
        <v>-3986882.0046231891</v>
      </c>
      <c r="DQ11" s="7"/>
      <c r="DR11" s="29">
        <f t="shared" si="2"/>
        <v>-3946245.2553768107</v>
      </c>
      <c r="DS11" s="7"/>
      <c r="DT11" s="29">
        <f t="shared" si="3"/>
        <v>-3893202.7443735581</v>
      </c>
      <c r="DU11" s="7"/>
      <c r="DV11" s="29">
        <f t="shared" si="3"/>
        <v>-3816002.4246558873</v>
      </c>
      <c r="DW11" s="7"/>
      <c r="DX11" s="29">
        <f t="shared" si="3"/>
        <v>-3654769.2431941573</v>
      </c>
      <c r="DY11" s="7"/>
      <c r="DZ11" s="29">
        <f t="shared" si="4"/>
        <v>-3414092.7805945883</v>
      </c>
      <c r="EA11" s="7"/>
      <c r="EB11" s="29">
        <f t="shared" si="5"/>
        <v>-3567235.1577272266</v>
      </c>
      <c r="EC11" s="7"/>
      <c r="ED11" s="29">
        <f t="shared" si="5"/>
        <v>-3385683.4632688602</v>
      </c>
      <c r="EE11" s="7"/>
      <c r="EF11" s="29">
        <f t="shared" si="5"/>
        <v>-3006429.6055847756</v>
      </c>
      <c r="EG11" s="7"/>
      <c r="EH11" s="29">
        <f t="shared" si="6"/>
        <v>-2080123.497535232</v>
      </c>
      <c r="EI11" s="7"/>
      <c r="EJ11" s="29">
        <f t="shared" si="7"/>
        <v>-2027642.8201890765</v>
      </c>
      <c r="EK11" s="7"/>
      <c r="EL11" s="29">
        <f t="shared" si="7"/>
        <v>-2103059.5824560034</v>
      </c>
      <c r="EM11" s="7"/>
      <c r="EN11" s="29">
        <f t="shared" si="8"/>
        <v>-2034441.3451914683</v>
      </c>
      <c r="EO11" s="7"/>
      <c r="EP11" s="29">
        <f t="shared" si="9"/>
        <v>-1809698.1521634522</v>
      </c>
      <c r="EQ11" s="7"/>
      <c r="ER11" s="29">
        <f t="shared" si="10"/>
        <v>-1743302.0363724809</v>
      </c>
      <c r="ES11" s="7"/>
      <c r="ET11" s="29">
        <f t="shared" si="11"/>
        <v>-1630703.346088049</v>
      </c>
      <c r="EU11" s="7"/>
      <c r="EV11" s="29">
        <f t="shared" si="12"/>
        <v>-1581389.7410950456</v>
      </c>
      <c r="EW11" s="7"/>
      <c r="EX11" s="29">
        <f t="shared" si="13"/>
        <v>-1581047.9057400199</v>
      </c>
      <c r="EY11" s="7"/>
      <c r="EZ11" s="29">
        <f t="shared" si="14"/>
        <v>-1258878.4550000005</v>
      </c>
      <c r="FA11" s="7"/>
      <c r="FB11" s="29">
        <f t="shared" si="15"/>
        <v>-1314468.2649999997</v>
      </c>
      <c r="FC11" s="7"/>
      <c r="FD11" s="29">
        <f t="shared" si="16"/>
        <v>-1327052.085</v>
      </c>
      <c r="FE11" s="7"/>
      <c r="FF11" s="29">
        <f t="shared" si="17"/>
        <v>-1335952.2650000001</v>
      </c>
      <c r="FG11" s="7"/>
      <c r="FH11" s="29">
        <v>-1224123.452541667</v>
      </c>
      <c r="FI11" s="7"/>
      <c r="FJ11" s="29">
        <f t="shared" si="18"/>
        <v>-1065800.1181249991</v>
      </c>
      <c r="FK11" s="7"/>
      <c r="FL11" s="29">
        <f t="shared" si="19"/>
        <v>-722983.41737500019</v>
      </c>
      <c r="FM11" s="7"/>
      <c r="FN11" s="29">
        <f t="shared" si="20"/>
        <v>-652069.37587499991</v>
      </c>
      <c r="FO11" s="7"/>
      <c r="FP11" s="29">
        <f t="shared" si="21"/>
        <v>-635192.2039166668</v>
      </c>
      <c r="FQ11" s="7"/>
      <c r="FR11" s="29">
        <f t="shared" si="22"/>
        <v>-601613.13</v>
      </c>
      <c r="FS11" s="7"/>
      <c r="FT11" s="29">
        <f t="shared" si="23"/>
        <v>-595759.79999999993</v>
      </c>
      <c r="FU11" s="7"/>
      <c r="FV11" s="29">
        <f t="shared" si="24"/>
        <v>-501200.66999999993</v>
      </c>
      <c r="FW11" s="7"/>
      <c r="FX11" s="29">
        <f t="shared" si="25"/>
        <v>-538011.39000000013</v>
      </c>
      <c r="FY11" s="7"/>
      <c r="FZ11" s="29">
        <f t="shared" si="26"/>
        <v>-505244.07999999984</v>
      </c>
      <c r="GA11" s="7"/>
      <c r="GB11" s="29">
        <f t="shared" si="27"/>
        <v>-545944.28</v>
      </c>
      <c r="GC11" s="7"/>
      <c r="GD11" s="29">
        <f t="shared" si="28"/>
        <v>-1064303.6799999997</v>
      </c>
      <c r="GE11" s="7"/>
      <c r="GF11" s="29">
        <f t="shared" si="29"/>
        <v>-1106697.6000000001</v>
      </c>
      <c r="GG11" s="7"/>
      <c r="GH11" s="29">
        <f t="shared" si="30"/>
        <v>-1085861.3800000004</v>
      </c>
      <c r="GI11" s="7"/>
      <c r="GJ11" s="29">
        <f t="shared" si="31"/>
        <v>-1088796.0499999998</v>
      </c>
      <c r="GK11" s="7"/>
      <c r="GL11" s="29">
        <f t="shared" si="32"/>
        <v>-1060903.7494006907</v>
      </c>
      <c r="GM11" s="7"/>
      <c r="GN11" s="29">
        <f t="shared" si="33"/>
        <v>-1078813.5735331031</v>
      </c>
      <c r="GO11" s="7"/>
      <c r="GP11" s="29">
        <f t="shared" si="34"/>
        <v>-986169.37353310315</v>
      </c>
      <c r="GR11" s="29">
        <f t="shared" si="35"/>
        <v>-767455.74353310303</v>
      </c>
      <c r="GS11" s="7"/>
      <c r="GT11" s="29">
        <f t="shared" si="36"/>
        <v>-760623.90353310294</v>
      </c>
      <c r="GU11" s="7"/>
      <c r="GV11" s="29">
        <f t="shared" si="37"/>
        <v>-780981.33353310311</v>
      </c>
    </row>
    <row r="12" spans="1:204">
      <c r="B12" s="26" t="s">
        <v>166</v>
      </c>
      <c r="C12" s="26"/>
      <c r="D12" s="29"/>
      <c r="E12" s="26"/>
      <c r="F12" s="29"/>
      <c r="G12" s="26"/>
      <c r="H12" s="29"/>
      <c r="I12" s="26"/>
      <c r="J12" s="29">
        <v>-2720928.426215</v>
      </c>
      <c r="K12" s="26"/>
      <c r="L12" s="29">
        <v>-11686538.911651667</v>
      </c>
      <c r="M12" s="26"/>
      <c r="N12" s="29">
        <v>-8229873.9244158883</v>
      </c>
      <c r="O12" s="26"/>
      <c r="P12" s="29">
        <v>-5432145.6500000004</v>
      </c>
      <c r="Q12" s="26"/>
      <c r="R12" s="29">
        <v>-2608298.3429210004</v>
      </c>
      <c r="S12" s="26"/>
      <c r="T12" s="29">
        <v>-10584472.422104999</v>
      </c>
      <c r="U12" s="26"/>
      <c r="V12" s="29">
        <v>-7888891.1280411109</v>
      </c>
      <c r="W12" s="26"/>
      <c r="X12" s="29">
        <v>-5508667.1132963337</v>
      </c>
      <c r="Y12" s="26"/>
      <c r="Z12" s="29">
        <v>-2790895.3714133333</v>
      </c>
      <c r="AA12" s="26"/>
      <c r="AB12" s="29">
        <v>-10129325.752492832</v>
      </c>
      <c r="AC12" s="26"/>
      <c r="AD12" s="29">
        <v>-7372057.1397978337</v>
      </c>
      <c r="AE12" s="26"/>
      <c r="AF12" s="29">
        <v>-4962082.2004604992</v>
      </c>
      <c r="AG12" s="26"/>
      <c r="AH12" s="29">
        <v>-2666891.71</v>
      </c>
      <c r="AI12" s="26"/>
      <c r="AJ12" s="29">
        <v>-7845852.8499999996</v>
      </c>
      <c r="AK12" s="26"/>
      <c r="AL12" s="29">
        <v>-5968932.9199999999</v>
      </c>
      <c r="AM12" s="26"/>
      <c r="AN12" s="29">
        <v>-3927838.77</v>
      </c>
      <c r="AO12" s="26"/>
      <c r="AP12" s="29">
        <v>-2264510.56</v>
      </c>
      <c r="AQ12" s="26"/>
      <c r="AR12" s="29">
        <v>-6430878.4299999997</v>
      </c>
      <c r="AS12" s="26"/>
      <c r="AT12" s="29">
        <v>-4580904.1500000004</v>
      </c>
      <c r="AU12" s="26"/>
      <c r="AV12" s="29">
        <v>-3066966.29</v>
      </c>
      <c r="AW12" s="26"/>
      <c r="AX12" s="29">
        <v>-1544732.71</v>
      </c>
      <c r="AY12" s="26"/>
      <c r="AZ12" s="29">
        <v>-7180844.6999999993</v>
      </c>
      <c r="BA12" s="26"/>
      <c r="BB12" s="29">
        <v>-5993749.2800000003</v>
      </c>
      <c r="BC12" s="26"/>
      <c r="BD12" s="29">
        <v>-4946776.2699999996</v>
      </c>
      <c r="BE12" s="26"/>
      <c r="BF12" s="29">
        <v>-2075396.45</v>
      </c>
      <c r="BG12" s="26"/>
      <c r="BH12" s="29">
        <v>-11060804.520000001</v>
      </c>
      <c r="BI12" s="26"/>
      <c r="BJ12" s="29">
        <v>-8814455.6999999993</v>
      </c>
      <c r="BK12" s="26"/>
      <c r="BL12" s="29">
        <v>-7785786.8100000015</v>
      </c>
      <c r="BM12" s="26"/>
      <c r="BN12" s="29">
        <v>-6225400.6900000004</v>
      </c>
      <c r="BO12" s="26"/>
      <c r="BP12" s="29">
        <v>-4804792.7500000009</v>
      </c>
      <c r="BQ12" s="26"/>
      <c r="BR12" s="29">
        <v>-3776477.8099999996</v>
      </c>
      <c r="BS12" s="26"/>
      <c r="BT12" s="29">
        <v>-1844509.12</v>
      </c>
      <c r="BU12" s="26"/>
      <c r="BV12" s="29">
        <v>-3766157.77</v>
      </c>
      <c r="BW12" s="26"/>
      <c r="BX12" s="29">
        <v>-2617809.3899999997</v>
      </c>
      <c r="BY12" s="26"/>
      <c r="BZ12" s="29">
        <v>-1650637.3399999999</v>
      </c>
      <c r="CA12" s="26"/>
      <c r="CB12" s="29">
        <v>-801213.53</v>
      </c>
      <c r="CC12" s="26"/>
      <c r="CD12" s="29">
        <v>-4863100.84</v>
      </c>
      <c r="CE12" s="26"/>
      <c r="CF12" s="29">
        <v>-3391973.45</v>
      </c>
      <c r="CG12" s="26"/>
      <c r="CH12" s="29">
        <v>-2464057.8899999997</v>
      </c>
      <c r="CI12" s="26"/>
      <c r="CJ12" s="29">
        <v>-1270456.3799999999</v>
      </c>
      <c r="CK12" s="26"/>
      <c r="CL12" s="29">
        <v>-5870484.4399999995</v>
      </c>
      <c r="CM12" s="26"/>
      <c r="CN12" s="29">
        <v>-4384640.8499999996</v>
      </c>
      <c r="CO12" s="26"/>
      <c r="CP12" s="29">
        <v>-3527281.83</v>
      </c>
      <c r="CQ12" s="26"/>
      <c r="CR12" s="29">
        <v>-1352654.01</v>
      </c>
      <c r="CS12" s="26"/>
      <c r="CT12" s="29">
        <v>-8658737.9500000011</v>
      </c>
      <c r="CU12" s="26"/>
      <c r="CV12" s="29">
        <v>-4598953.83</v>
      </c>
      <c r="CW12" s="25"/>
      <c r="CX12" s="29">
        <v>-2367833.0100000002</v>
      </c>
      <c r="CZ12" s="29">
        <v>-3488723.7300000004</v>
      </c>
      <c r="DA12" s="26"/>
      <c r="DB12" s="29">
        <v>-5028973.9800000004</v>
      </c>
      <c r="DC12" s="75"/>
      <c r="DD12" s="29"/>
      <c r="DE12" s="7"/>
      <c r="DF12" s="29"/>
      <c r="DG12" s="7"/>
      <c r="DH12" s="29"/>
      <c r="DI12" s="7"/>
      <c r="DJ12" s="29">
        <f t="shared" si="0"/>
        <v>-2720928.426215</v>
      </c>
      <c r="DK12" s="7"/>
      <c r="DL12" s="29">
        <f t="shared" si="1"/>
        <v>-3456664.9872357789</v>
      </c>
      <c r="DM12" s="7"/>
      <c r="DN12" s="29">
        <f t="shared" si="1"/>
        <v>-2797728.2744158879</v>
      </c>
      <c r="DO12" s="7"/>
      <c r="DP12" s="29">
        <f t="shared" si="1"/>
        <v>-2823847.3070789999</v>
      </c>
      <c r="DQ12" s="7"/>
      <c r="DR12" s="29">
        <f t="shared" si="2"/>
        <v>-2608298.3429210004</v>
      </c>
      <c r="DS12" s="7"/>
      <c r="DT12" s="29">
        <f t="shared" si="3"/>
        <v>-2695581.2940638885</v>
      </c>
      <c r="DU12" s="7"/>
      <c r="DV12" s="29">
        <f t="shared" si="3"/>
        <v>-2380224.0147447772</v>
      </c>
      <c r="DW12" s="7"/>
      <c r="DX12" s="29">
        <f t="shared" si="3"/>
        <v>-2717771.7418830004</v>
      </c>
      <c r="DY12" s="7"/>
      <c r="DZ12" s="29">
        <f t="shared" si="4"/>
        <v>-2790895.3714133333</v>
      </c>
      <c r="EA12" s="7"/>
      <c r="EB12" s="29">
        <f t="shared" si="5"/>
        <v>-2757268.6126949983</v>
      </c>
      <c r="EC12" s="7"/>
      <c r="ED12" s="29">
        <f t="shared" si="5"/>
        <v>-2409974.9393373346</v>
      </c>
      <c r="EE12" s="7"/>
      <c r="EF12" s="29">
        <f t="shared" si="5"/>
        <v>-2295190.4904604992</v>
      </c>
      <c r="EG12" s="7"/>
      <c r="EH12" s="29">
        <f t="shared" si="6"/>
        <v>-2666891.71</v>
      </c>
      <c r="EI12" s="7"/>
      <c r="EJ12" s="29">
        <f t="shared" si="7"/>
        <v>-1876919.9299999997</v>
      </c>
      <c r="EK12" s="7"/>
      <c r="EL12" s="29">
        <f t="shared" si="7"/>
        <v>-2041094.15</v>
      </c>
      <c r="EM12" s="7"/>
      <c r="EN12" s="29">
        <f t="shared" si="8"/>
        <v>-1663328.21</v>
      </c>
      <c r="EO12" s="7"/>
      <c r="EP12" s="29">
        <f t="shared" si="9"/>
        <v>-2264510.56</v>
      </c>
      <c r="EQ12" s="7"/>
      <c r="ER12" s="29">
        <f t="shared" si="10"/>
        <v>-1849974.2799999993</v>
      </c>
      <c r="ES12" s="7"/>
      <c r="ET12" s="29">
        <f t="shared" si="11"/>
        <v>-1513937.8600000003</v>
      </c>
      <c r="EU12" s="7"/>
      <c r="EV12" s="29">
        <f t="shared" si="12"/>
        <v>-1522233.58</v>
      </c>
      <c r="EW12" s="7"/>
      <c r="EX12" s="29">
        <f t="shared" si="13"/>
        <v>-1544732.71</v>
      </c>
      <c r="EY12" s="7"/>
      <c r="EZ12" s="29">
        <f t="shared" si="14"/>
        <v>-1187095.419999999</v>
      </c>
      <c r="FA12" s="7"/>
      <c r="FB12" s="29">
        <f t="shared" si="15"/>
        <v>-1046973.0100000007</v>
      </c>
      <c r="FC12" s="7"/>
      <c r="FD12" s="29">
        <f t="shared" si="16"/>
        <v>-2871379.8199999994</v>
      </c>
      <c r="FE12" s="7"/>
      <c r="FF12" s="29">
        <f t="shared" si="17"/>
        <v>-2075396.45</v>
      </c>
      <c r="FG12" s="7"/>
      <c r="FH12" s="29">
        <v>-1485318.76</v>
      </c>
      <c r="FI12" s="7"/>
      <c r="FJ12" s="29">
        <f t="shared" si="18"/>
        <v>-1028668.8899999978</v>
      </c>
      <c r="FK12" s="7"/>
      <c r="FL12" s="29">
        <f t="shared" si="19"/>
        <v>-1560386.120000001</v>
      </c>
      <c r="FM12" s="7"/>
      <c r="FN12" s="29">
        <f t="shared" si="20"/>
        <v>-1420607.9399999995</v>
      </c>
      <c r="FO12" s="7"/>
      <c r="FP12" s="29">
        <f t="shared" si="21"/>
        <v>-1028314.9400000013</v>
      </c>
      <c r="FQ12" s="7"/>
      <c r="FR12" s="29">
        <f t="shared" si="22"/>
        <v>-1931968.6899999995</v>
      </c>
      <c r="FS12" s="7"/>
      <c r="FT12" s="29">
        <f t="shared" si="23"/>
        <v>-1844509.12</v>
      </c>
      <c r="FU12" s="7"/>
      <c r="FV12" s="29">
        <f t="shared" si="24"/>
        <v>-1148348.3800000004</v>
      </c>
      <c r="FW12" s="7"/>
      <c r="FX12" s="29">
        <f t="shared" si="25"/>
        <v>-967172.04999999981</v>
      </c>
      <c r="FY12" s="7"/>
      <c r="FZ12" s="29">
        <f t="shared" si="26"/>
        <v>-849423.80999999982</v>
      </c>
      <c r="GA12" s="7"/>
      <c r="GB12" s="29">
        <f t="shared" si="27"/>
        <v>-801213.53</v>
      </c>
      <c r="GC12" s="7"/>
      <c r="GD12" s="29">
        <f t="shared" si="28"/>
        <v>-1471127.3899999997</v>
      </c>
      <c r="GE12" s="7"/>
      <c r="GF12" s="29">
        <f t="shared" si="29"/>
        <v>-927915.56000000052</v>
      </c>
      <c r="GG12" s="7"/>
      <c r="GH12" s="29">
        <f t="shared" si="30"/>
        <v>-1193601.5099999998</v>
      </c>
      <c r="GI12" s="7"/>
      <c r="GJ12" s="29">
        <f t="shared" si="31"/>
        <v>-1270456.3799999999</v>
      </c>
      <c r="GK12" s="7"/>
      <c r="GL12" s="29">
        <f t="shared" si="32"/>
        <v>-1485843.5899999999</v>
      </c>
      <c r="GM12" s="7"/>
      <c r="GN12" s="29">
        <f t="shared" si="33"/>
        <v>-857359.01999999955</v>
      </c>
      <c r="GO12" s="7"/>
      <c r="GP12" s="29">
        <f t="shared" si="34"/>
        <v>-2174627.8200000003</v>
      </c>
      <c r="GR12" s="29">
        <f t="shared" si="35"/>
        <v>-1352654.01</v>
      </c>
      <c r="GS12" s="7"/>
      <c r="GT12" s="29">
        <f t="shared" si="36"/>
        <v>-4059784.120000001</v>
      </c>
      <c r="GU12" s="7"/>
      <c r="GV12" s="29">
        <f t="shared" si="37"/>
        <v>-2231120.8199999998</v>
      </c>
    </row>
    <row r="13" spans="1:204">
      <c r="B13" s="26" t="s">
        <v>167</v>
      </c>
      <c r="C13" s="26"/>
      <c r="D13" s="29"/>
      <c r="E13" s="26"/>
      <c r="F13" s="29"/>
      <c r="G13" s="26"/>
      <c r="H13" s="29"/>
      <c r="I13" s="26"/>
      <c r="J13" s="29">
        <v>-14775423.783126963</v>
      </c>
      <c r="K13" s="26"/>
      <c r="L13" s="29">
        <v>-55637130.107810251</v>
      </c>
      <c r="M13" s="26"/>
      <c r="N13" s="29">
        <v>-41594719.181089357</v>
      </c>
      <c r="O13" s="26"/>
      <c r="P13" s="29">
        <v>-25305581.699999999</v>
      </c>
      <c r="Q13" s="26"/>
      <c r="R13" s="29">
        <v>-12166191.866479805</v>
      </c>
      <c r="S13" s="26"/>
      <c r="T13" s="29">
        <v>-37067293.219094679</v>
      </c>
      <c r="U13" s="26"/>
      <c r="V13" s="29">
        <v>-25954164.553811938</v>
      </c>
      <c r="W13" s="26"/>
      <c r="X13" s="29">
        <v>-16050145.837860756</v>
      </c>
      <c r="Y13" s="26"/>
      <c r="Z13" s="29">
        <v>-5556782.4349666638</v>
      </c>
      <c r="AA13" s="26"/>
      <c r="AB13" s="29">
        <v>-19448421.276430003</v>
      </c>
      <c r="AC13" s="26"/>
      <c r="AD13" s="29">
        <v>-12947255.595899157</v>
      </c>
      <c r="AE13" s="26"/>
      <c r="AF13" s="29">
        <v>-7751499.3280760003</v>
      </c>
      <c r="AG13" s="26"/>
      <c r="AH13" s="29">
        <v>-3123163.5093499995</v>
      </c>
      <c r="AI13" s="26"/>
      <c r="AJ13" s="29">
        <v>-11118408.850000001</v>
      </c>
      <c r="AK13" s="26"/>
      <c r="AL13" s="29">
        <v>-8818951.2177500017</v>
      </c>
      <c r="AM13" s="26"/>
      <c r="AN13" s="29">
        <v>-5372746.0685000001</v>
      </c>
      <c r="AO13" s="26"/>
      <c r="AP13" s="29">
        <v>-2668725.7892499999</v>
      </c>
      <c r="AQ13" s="26"/>
      <c r="AR13" s="29">
        <v>-10839163.914549999</v>
      </c>
      <c r="AS13" s="26"/>
      <c r="AT13" s="29">
        <v>-8638401.8893999998</v>
      </c>
      <c r="AU13" s="26"/>
      <c r="AV13" s="29">
        <v>-6432524.1832499998</v>
      </c>
      <c r="AW13" s="26"/>
      <c r="AX13" s="29">
        <v>-3327119.82</v>
      </c>
      <c r="AY13" s="26"/>
      <c r="AZ13" s="29">
        <v>-14145548.909999995</v>
      </c>
      <c r="BA13" s="26"/>
      <c r="BB13" s="29">
        <v>-11004905.429999985</v>
      </c>
      <c r="BC13" s="26"/>
      <c r="BD13" s="29">
        <v>-7869081.1199999833</v>
      </c>
      <c r="BE13" s="26"/>
      <c r="BF13" s="29">
        <v>-3390642.5400000005</v>
      </c>
      <c r="BG13" s="26"/>
      <c r="BH13" s="29">
        <v>-21135739.907833334</v>
      </c>
      <c r="BI13" s="26"/>
      <c r="BJ13" s="29">
        <v>-14658838.620000003</v>
      </c>
      <c r="BK13" s="26"/>
      <c r="BL13" s="29">
        <v>-12055621.890000001</v>
      </c>
      <c r="BM13" s="26"/>
      <c r="BN13" s="29">
        <v>-9933169.120000001</v>
      </c>
      <c r="BO13" s="26"/>
      <c r="BP13" s="29">
        <v>-7053112.3699999992</v>
      </c>
      <c r="BQ13" s="26"/>
      <c r="BR13" s="29">
        <v>-4670791.82</v>
      </c>
      <c r="BS13" s="26"/>
      <c r="BT13" s="29">
        <v>-2181346.96</v>
      </c>
      <c r="BU13" s="26"/>
      <c r="BV13" s="29">
        <v>-9549189.2200000007</v>
      </c>
      <c r="BW13" s="26"/>
      <c r="BX13" s="29">
        <v>-7222613.5299999993</v>
      </c>
      <c r="BY13" s="26"/>
      <c r="BZ13" s="29">
        <v>-4486143.0500000007</v>
      </c>
      <c r="CA13" s="26"/>
      <c r="CB13" s="29">
        <v>-2082340.67</v>
      </c>
      <c r="CC13" s="26"/>
      <c r="CD13" s="29">
        <v>-8996303.6699999999</v>
      </c>
      <c r="CE13" s="26"/>
      <c r="CF13" s="29">
        <v>-6893696.25</v>
      </c>
      <c r="CG13" s="26"/>
      <c r="CH13" s="29">
        <v>-4713366.33</v>
      </c>
      <c r="CI13" s="26"/>
      <c r="CJ13" s="29">
        <v>-2095292.27</v>
      </c>
      <c r="CK13" s="26"/>
      <c r="CL13" s="29">
        <v>-7805141.8399999999</v>
      </c>
      <c r="CM13" s="26"/>
      <c r="CN13" s="29">
        <v>-6494359.6500000004</v>
      </c>
      <c r="CO13" s="26"/>
      <c r="CP13" s="29">
        <v>-4259618.3999999994</v>
      </c>
      <c r="CQ13" s="26"/>
      <c r="CR13" s="29">
        <v>-2122209.29</v>
      </c>
      <c r="CS13" s="26"/>
      <c r="CT13" s="29">
        <v>-8646340.6600000001</v>
      </c>
      <c r="CU13" s="26"/>
      <c r="CV13" s="29">
        <v>-4858384.83</v>
      </c>
      <c r="CW13" s="26"/>
      <c r="CX13" s="29">
        <v>-3301444.4400000004</v>
      </c>
      <c r="CZ13" s="29">
        <v>-4723658.1100000013</v>
      </c>
      <c r="DA13" s="26"/>
      <c r="DB13" s="29">
        <v>-3309529.27</v>
      </c>
      <c r="DC13" s="75"/>
      <c r="DD13" s="29"/>
      <c r="DE13" s="7"/>
      <c r="DF13" s="29"/>
      <c r="DG13" s="7"/>
      <c r="DH13" s="29"/>
      <c r="DI13" s="7"/>
      <c r="DJ13" s="29">
        <f t="shared" si="0"/>
        <v>-14775423.783126963</v>
      </c>
      <c r="DK13" s="7"/>
      <c r="DL13" s="29">
        <f t="shared" si="1"/>
        <v>-14042410.926720895</v>
      </c>
      <c r="DM13" s="7"/>
      <c r="DN13" s="29">
        <f t="shared" si="1"/>
        <v>-16289137.481089357</v>
      </c>
      <c r="DO13" s="7"/>
      <c r="DP13" s="29">
        <f t="shared" si="1"/>
        <v>-13139389.833520195</v>
      </c>
      <c r="DQ13" s="7"/>
      <c r="DR13" s="29">
        <f t="shared" si="2"/>
        <v>-12166191.866479805</v>
      </c>
      <c r="DS13" s="7"/>
      <c r="DT13" s="29">
        <f t="shared" si="3"/>
        <v>-11113128.665282741</v>
      </c>
      <c r="DU13" s="7"/>
      <c r="DV13" s="29">
        <f t="shared" si="3"/>
        <v>-9904018.7159511819</v>
      </c>
      <c r="DW13" s="7"/>
      <c r="DX13" s="29">
        <f t="shared" si="3"/>
        <v>-10493363.402894091</v>
      </c>
      <c r="DY13" s="7"/>
      <c r="DZ13" s="29">
        <f t="shared" si="4"/>
        <v>-5556782.4349666638</v>
      </c>
      <c r="EA13" s="7"/>
      <c r="EB13" s="29">
        <f t="shared" si="5"/>
        <v>-6501165.6805308461</v>
      </c>
      <c r="EC13" s="7"/>
      <c r="ED13" s="29">
        <f t="shared" si="5"/>
        <v>-5195756.2678231569</v>
      </c>
      <c r="EE13" s="7"/>
      <c r="EF13" s="29">
        <f t="shared" si="5"/>
        <v>-4628335.8187260013</v>
      </c>
      <c r="EG13" s="7"/>
      <c r="EH13" s="29">
        <f t="shared" si="6"/>
        <v>-3123163.5093499995</v>
      </c>
      <c r="EI13" s="7"/>
      <c r="EJ13" s="29">
        <f t="shared" si="7"/>
        <v>-2299457.6322499998</v>
      </c>
      <c r="EK13" s="7"/>
      <c r="EL13" s="29">
        <f t="shared" si="7"/>
        <v>-3446205.1492500016</v>
      </c>
      <c r="EM13" s="7"/>
      <c r="EN13" s="29">
        <f t="shared" si="8"/>
        <v>-2704020.2792500001</v>
      </c>
      <c r="EO13" s="7"/>
      <c r="EP13" s="29">
        <f t="shared" si="9"/>
        <v>-2668725.7892499999</v>
      </c>
      <c r="EQ13" s="7"/>
      <c r="ER13" s="29">
        <f t="shared" si="10"/>
        <v>-2200762.0251499992</v>
      </c>
      <c r="ES13" s="7"/>
      <c r="ET13" s="29">
        <f t="shared" si="11"/>
        <v>-2205877.70615</v>
      </c>
      <c r="EU13" s="7"/>
      <c r="EV13" s="29">
        <f t="shared" si="12"/>
        <v>-3105404.3632499999</v>
      </c>
      <c r="EW13" s="7"/>
      <c r="EX13" s="29">
        <f t="shared" si="13"/>
        <v>-3327119.82</v>
      </c>
      <c r="EY13" s="7"/>
      <c r="EZ13" s="29">
        <f t="shared" si="14"/>
        <v>-3140643.4800000098</v>
      </c>
      <c r="FA13" s="7"/>
      <c r="FB13" s="29">
        <f t="shared" si="15"/>
        <v>-3135824.3100000015</v>
      </c>
      <c r="FC13" s="7"/>
      <c r="FD13" s="29">
        <f t="shared" si="16"/>
        <v>-4478438.5799999833</v>
      </c>
      <c r="FE13" s="7"/>
      <c r="FF13" s="29">
        <f t="shared" si="17"/>
        <v>-3390642.5400000005</v>
      </c>
      <c r="FG13" s="7"/>
      <c r="FH13" s="29">
        <v>-2952765.37</v>
      </c>
      <c r="FI13" s="7"/>
      <c r="FJ13" s="29">
        <f t="shared" si="18"/>
        <v>-2603216.7300000023</v>
      </c>
      <c r="FK13" s="7"/>
      <c r="FL13" s="29">
        <f t="shared" si="19"/>
        <v>-2122452.7699999996</v>
      </c>
      <c r="FM13" s="7"/>
      <c r="FN13" s="29">
        <f t="shared" si="20"/>
        <v>-2880056.7500000019</v>
      </c>
      <c r="FO13" s="7"/>
      <c r="FP13" s="29">
        <f t="shared" si="21"/>
        <v>-2382320.5499999989</v>
      </c>
      <c r="FQ13" s="7"/>
      <c r="FR13" s="29">
        <f t="shared" si="22"/>
        <v>-2489444.8600000003</v>
      </c>
      <c r="FS13" s="7"/>
      <c r="FT13" s="29">
        <f t="shared" si="23"/>
        <v>-2181346.96</v>
      </c>
      <c r="FU13" s="7"/>
      <c r="FV13" s="29">
        <f t="shared" si="24"/>
        <v>-2326575.6900000013</v>
      </c>
      <c r="FW13" s="7"/>
      <c r="FX13" s="29">
        <f t="shared" si="25"/>
        <v>-2736470.4799999986</v>
      </c>
      <c r="FY13" s="7"/>
      <c r="FZ13" s="29">
        <f t="shared" si="26"/>
        <v>-2403802.3800000008</v>
      </c>
      <c r="GA13" s="7"/>
      <c r="GB13" s="29">
        <f t="shared" si="27"/>
        <v>-2082340.67</v>
      </c>
      <c r="GC13" s="7"/>
      <c r="GD13" s="29">
        <f t="shared" si="28"/>
        <v>-2102607.42</v>
      </c>
      <c r="GE13" s="7"/>
      <c r="GF13" s="29">
        <f t="shared" si="29"/>
        <v>-2180329.92</v>
      </c>
      <c r="GG13" s="7"/>
      <c r="GH13" s="29">
        <f t="shared" si="30"/>
        <v>-2618074.06</v>
      </c>
      <c r="GI13" s="7"/>
      <c r="GJ13" s="29">
        <f t="shared" si="31"/>
        <v>-2095292.27</v>
      </c>
      <c r="GK13" s="7"/>
      <c r="GL13" s="29">
        <f t="shared" si="32"/>
        <v>-1310782.1899999995</v>
      </c>
      <c r="GM13" s="7"/>
      <c r="GN13" s="29">
        <f t="shared" si="33"/>
        <v>-2234741.2500000009</v>
      </c>
      <c r="GO13" s="7"/>
      <c r="GP13" s="29">
        <f t="shared" si="34"/>
        <v>-2137409.1099999994</v>
      </c>
      <c r="GR13" s="29">
        <f t="shared" si="35"/>
        <v>-2122209.29</v>
      </c>
      <c r="GS13" s="7"/>
      <c r="GT13" s="29">
        <f t="shared" si="36"/>
        <v>-3787955.83</v>
      </c>
      <c r="GU13" s="7"/>
      <c r="GV13" s="29">
        <f t="shared" si="37"/>
        <v>-1556940.3899999997</v>
      </c>
    </row>
    <row r="14" spans="1:204">
      <c r="B14" s="26" t="s">
        <v>168</v>
      </c>
      <c r="C14" s="26"/>
      <c r="D14" s="29"/>
      <c r="E14" s="26"/>
      <c r="F14" s="29"/>
      <c r="G14" s="26"/>
      <c r="H14" s="29"/>
      <c r="I14" s="26"/>
      <c r="J14" s="29">
        <v>-10787431.544190999</v>
      </c>
      <c r="K14" s="26"/>
      <c r="L14" s="29">
        <v>-41283300.596394666</v>
      </c>
      <c r="M14" s="26"/>
      <c r="N14" s="29">
        <v>-29416921.501226142</v>
      </c>
      <c r="O14" s="26"/>
      <c r="P14" s="29">
        <v>-19272346.399999999</v>
      </c>
      <c r="Q14" s="26"/>
      <c r="R14" s="29">
        <v>-10197654.435529374</v>
      </c>
      <c r="S14" s="26"/>
      <c r="T14" s="29">
        <v>-33938256.65457993</v>
      </c>
      <c r="U14" s="26"/>
      <c r="V14" s="29">
        <v>-23166253.100307267</v>
      </c>
      <c r="W14" s="26"/>
      <c r="X14" s="29">
        <v>-14954226.73128397</v>
      </c>
      <c r="Y14" s="26"/>
      <c r="Z14" s="29">
        <v>-7209271.9577400014</v>
      </c>
      <c r="AA14" s="26"/>
      <c r="AB14" s="29">
        <v>-21349596.341623336</v>
      </c>
      <c r="AC14" s="26"/>
      <c r="AD14" s="29">
        <v>-15143489.237921333</v>
      </c>
      <c r="AE14" s="26"/>
      <c r="AF14" s="29">
        <v>-9550885.6807500012</v>
      </c>
      <c r="AG14" s="26"/>
      <c r="AH14" s="29">
        <v>-4373381.21</v>
      </c>
      <c r="AI14" s="26"/>
      <c r="AJ14" s="29">
        <v>-15151593.100000001</v>
      </c>
      <c r="AK14" s="26"/>
      <c r="AL14" s="29">
        <v>-10630044.859999999</v>
      </c>
      <c r="AM14" s="26"/>
      <c r="AN14" s="29">
        <v>-7096382.3900000006</v>
      </c>
      <c r="AO14" s="26"/>
      <c r="AP14" s="29">
        <v>-3576284.8200000003</v>
      </c>
      <c r="AQ14" s="26"/>
      <c r="AR14" s="29">
        <v>-14164284.060000002</v>
      </c>
      <c r="AS14" s="26"/>
      <c r="AT14" s="29">
        <v>-10732227.609999999</v>
      </c>
      <c r="AU14" s="26"/>
      <c r="AV14" s="29">
        <v>-7066030.7500000009</v>
      </c>
      <c r="AW14" s="26"/>
      <c r="AX14" s="29">
        <v>-3621397.5999999996</v>
      </c>
      <c r="AY14" s="26"/>
      <c r="AZ14" s="29">
        <v>-13998697.629999999</v>
      </c>
      <c r="BA14" s="26"/>
      <c r="BB14" s="29">
        <v>-9598664.2799999993</v>
      </c>
      <c r="BC14" s="26"/>
      <c r="BD14" s="29">
        <v>-6549024.7399999993</v>
      </c>
      <c r="BE14" s="26"/>
      <c r="BF14" s="29">
        <v>-3258366.87</v>
      </c>
      <c r="BG14" s="26"/>
      <c r="BH14" s="29">
        <v>-19087041.650000002</v>
      </c>
      <c r="BI14" s="26"/>
      <c r="BJ14" s="29">
        <v>-12737615.33</v>
      </c>
      <c r="BK14" s="26"/>
      <c r="BL14" s="29">
        <v>-10273065.17</v>
      </c>
      <c r="BM14" s="26"/>
      <c r="BN14" s="29">
        <v>-7915628.7199999997</v>
      </c>
      <c r="BO14" s="26"/>
      <c r="BP14" s="29">
        <v>-5856897.25</v>
      </c>
      <c r="BQ14" s="26"/>
      <c r="BR14" s="29">
        <v>-3940492.5300000003</v>
      </c>
      <c r="BS14" s="26"/>
      <c r="BT14" s="29">
        <v>-1964855.0499999998</v>
      </c>
      <c r="BU14" s="26"/>
      <c r="BV14" s="29">
        <v>-8229677.4700000007</v>
      </c>
      <c r="BW14" s="26"/>
      <c r="BX14" s="29">
        <v>-6059229.8999999994</v>
      </c>
      <c r="BY14" s="26"/>
      <c r="BZ14" s="29">
        <v>-4073004.38</v>
      </c>
      <c r="CA14" s="26"/>
      <c r="CB14" s="29">
        <v>-1957421.38</v>
      </c>
      <c r="CC14" s="26"/>
      <c r="CD14" s="29">
        <v>-8336657.2499999991</v>
      </c>
      <c r="CE14" s="26"/>
      <c r="CF14" s="29">
        <v>-6051389.71</v>
      </c>
      <c r="CG14" s="26"/>
      <c r="CH14" s="29">
        <v>-4189734.41</v>
      </c>
      <c r="CI14" s="26"/>
      <c r="CJ14" s="29">
        <v>-1947065.22</v>
      </c>
      <c r="CK14" s="26"/>
      <c r="CL14" s="29">
        <v>-8107260.0000000009</v>
      </c>
      <c r="CM14" s="26"/>
      <c r="CN14" s="29">
        <v>-5878686.5700000003</v>
      </c>
      <c r="CO14" s="26"/>
      <c r="CP14" s="29">
        <v>-3845636.8099999996</v>
      </c>
      <c r="CQ14" s="26"/>
      <c r="CR14" s="29">
        <v>-1739349.98</v>
      </c>
      <c r="CS14" s="26"/>
      <c r="CT14" s="29">
        <v>-7408387.0053490633</v>
      </c>
      <c r="CU14" s="26"/>
      <c r="CV14" s="29">
        <v>-5902305.2614628095</v>
      </c>
      <c r="CW14" s="8"/>
      <c r="CX14" s="29">
        <v>-3766875.1476418739</v>
      </c>
      <c r="CZ14" s="29">
        <v>-7984597.9417024823</v>
      </c>
      <c r="DA14" s="26"/>
      <c r="DB14" s="29">
        <v>-6416117.7800000003</v>
      </c>
      <c r="DC14" s="75"/>
      <c r="DD14" s="29"/>
      <c r="DE14" s="8"/>
      <c r="DF14" s="29"/>
      <c r="DG14" s="8"/>
      <c r="DH14" s="29"/>
      <c r="DI14" s="8"/>
      <c r="DJ14" s="29">
        <f t="shared" si="0"/>
        <v>-10787431.544190999</v>
      </c>
      <c r="DK14" s="8"/>
      <c r="DL14" s="29">
        <f t="shared" si="1"/>
        <v>-11866379.095168523</v>
      </c>
      <c r="DM14" s="8"/>
      <c r="DN14" s="29">
        <f t="shared" si="1"/>
        <v>-10144575.101226144</v>
      </c>
      <c r="DO14" s="8"/>
      <c r="DP14" s="29">
        <f t="shared" si="1"/>
        <v>-9074691.9644706249</v>
      </c>
      <c r="DQ14" s="8"/>
      <c r="DR14" s="29">
        <f t="shared" si="2"/>
        <v>-10197654.435529374</v>
      </c>
      <c r="DS14" s="8"/>
      <c r="DT14" s="29">
        <f t="shared" si="3"/>
        <v>-10772003.554272663</v>
      </c>
      <c r="DU14" s="8"/>
      <c r="DV14" s="29">
        <f t="shared" si="3"/>
        <v>-8212026.369023297</v>
      </c>
      <c r="DW14" s="8"/>
      <c r="DX14" s="29">
        <f t="shared" si="3"/>
        <v>-7744954.7735439688</v>
      </c>
      <c r="DY14" s="8"/>
      <c r="DZ14" s="29">
        <f t="shared" si="4"/>
        <v>-7209271.9577400014</v>
      </c>
      <c r="EA14" s="8"/>
      <c r="EB14" s="29">
        <f t="shared" si="5"/>
        <v>-6206107.1037020031</v>
      </c>
      <c r="EC14" s="8"/>
      <c r="ED14" s="29">
        <f t="shared" si="5"/>
        <v>-5592603.5571713317</v>
      </c>
      <c r="EE14" s="8"/>
      <c r="EF14" s="29">
        <f t="shared" si="5"/>
        <v>-5177504.4707500013</v>
      </c>
      <c r="EG14" s="8"/>
      <c r="EH14" s="29">
        <f t="shared" si="6"/>
        <v>-4373381.21</v>
      </c>
      <c r="EI14" s="8"/>
      <c r="EJ14" s="29">
        <f t="shared" si="7"/>
        <v>-4521548.2400000021</v>
      </c>
      <c r="EK14" s="8"/>
      <c r="EL14" s="29">
        <f t="shared" si="7"/>
        <v>-3533662.4699999988</v>
      </c>
      <c r="EM14" s="8"/>
      <c r="EN14" s="29">
        <f t="shared" si="8"/>
        <v>-3520097.5700000003</v>
      </c>
      <c r="EO14" s="8"/>
      <c r="EP14" s="29">
        <f t="shared" si="9"/>
        <v>-3576284.8200000003</v>
      </c>
      <c r="EQ14" s="8"/>
      <c r="ER14" s="29">
        <f t="shared" si="10"/>
        <v>-3432056.450000003</v>
      </c>
      <c r="ES14" s="8"/>
      <c r="ET14" s="29">
        <f t="shared" si="11"/>
        <v>-3666196.8599999985</v>
      </c>
      <c r="EU14" s="8"/>
      <c r="EV14" s="29">
        <f t="shared" si="12"/>
        <v>-3444633.1500000013</v>
      </c>
      <c r="EW14" s="8"/>
      <c r="EX14" s="29">
        <f t="shared" si="13"/>
        <v>-3621397.5999999996</v>
      </c>
      <c r="EY14" s="8"/>
      <c r="EZ14" s="29">
        <f t="shared" si="14"/>
        <v>-4400033.3499999996</v>
      </c>
      <c r="FA14" s="8"/>
      <c r="FB14" s="29">
        <f t="shared" si="15"/>
        <v>-3049639.54</v>
      </c>
      <c r="FC14" s="8"/>
      <c r="FD14" s="29">
        <f t="shared" si="16"/>
        <v>-3290657.8699999992</v>
      </c>
      <c r="FE14" s="8"/>
      <c r="FF14" s="29">
        <f t="shared" si="17"/>
        <v>-3258366.87</v>
      </c>
      <c r="FG14" s="8"/>
      <c r="FH14" s="29">
        <v>-3167344.04</v>
      </c>
      <c r="FI14" s="8"/>
      <c r="FJ14" s="29">
        <f t="shared" si="18"/>
        <v>-2464550.16</v>
      </c>
      <c r="FK14" s="8"/>
      <c r="FL14" s="29">
        <f t="shared" si="19"/>
        <v>-2357436.4500000002</v>
      </c>
      <c r="FM14" s="8"/>
      <c r="FN14" s="29">
        <f t="shared" si="20"/>
        <v>-2058731.4699999997</v>
      </c>
      <c r="FO14" s="8"/>
      <c r="FP14" s="29">
        <f t="shared" si="21"/>
        <v>-1916404.7199999997</v>
      </c>
      <c r="FQ14" s="8"/>
      <c r="FR14" s="29">
        <f t="shared" si="22"/>
        <v>-1975637.4800000004</v>
      </c>
      <c r="FS14" s="8"/>
      <c r="FT14" s="29">
        <f t="shared" si="23"/>
        <v>-1964855.0499999998</v>
      </c>
      <c r="FU14" s="8"/>
      <c r="FV14" s="29">
        <f t="shared" si="24"/>
        <v>-2170447.5700000012</v>
      </c>
      <c r="FW14" s="8"/>
      <c r="FX14" s="29">
        <f t="shared" si="25"/>
        <v>-1986225.5199999996</v>
      </c>
      <c r="FY14" s="8"/>
      <c r="FZ14" s="29">
        <f t="shared" si="26"/>
        <v>-2115583</v>
      </c>
      <c r="GA14" s="8"/>
      <c r="GB14" s="29">
        <f t="shared" si="27"/>
        <v>-1957421.38</v>
      </c>
      <c r="GC14" s="8"/>
      <c r="GD14" s="29">
        <f t="shared" si="28"/>
        <v>-2285267.5399999991</v>
      </c>
      <c r="GE14" s="8"/>
      <c r="GF14" s="29">
        <f t="shared" si="29"/>
        <v>-1861655.2999999998</v>
      </c>
      <c r="GG14" s="8"/>
      <c r="GH14" s="29">
        <f t="shared" si="30"/>
        <v>-2242669.1900000004</v>
      </c>
      <c r="GI14" s="8"/>
      <c r="GJ14" s="29">
        <f t="shared" si="31"/>
        <v>-1947065.22</v>
      </c>
      <c r="GK14" s="8"/>
      <c r="GL14" s="29">
        <f t="shared" si="32"/>
        <v>-2228573.4300000006</v>
      </c>
      <c r="GM14" s="8"/>
      <c r="GN14" s="29">
        <f t="shared" si="33"/>
        <v>-2033049.7600000007</v>
      </c>
      <c r="GO14" s="8"/>
      <c r="GP14" s="29">
        <f t="shared" si="34"/>
        <v>-2106286.8299999996</v>
      </c>
      <c r="GR14" s="29">
        <f t="shared" si="35"/>
        <v>-1739349.98</v>
      </c>
      <c r="GS14" s="8"/>
      <c r="GT14" s="29">
        <f t="shared" si="36"/>
        <v>-1506081.7438862538</v>
      </c>
      <c r="GU14" s="8"/>
      <c r="GV14" s="29">
        <f t="shared" si="37"/>
        <v>-2135430.1138209356</v>
      </c>
    </row>
    <row r="15" spans="1:204">
      <c r="B15" s="26" t="s">
        <v>169</v>
      </c>
      <c r="C15" s="26"/>
      <c r="D15" s="29"/>
      <c r="E15" s="26"/>
      <c r="F15" s="29"/>
      <c r="G15" s="26"/>
      <c r="H15" s="29"/>
      <c r="I15" s="26"/>
      <c r="J15" s="29">
        <v>-1393762.4327739999</v>
      </c>
      <c r="K15" s="26"/>
      <c r="L15" s="29">
        <v>-5616088.1048566662</v>
      </c>
      <c r="M15" s="26"/>
      <c r="N15" s="29">
        <v>-3924732.5025097779</v>
      </c>
      <c r="O15" s="26"/>
      <c r="P15" s="29">
        <v>-2513087.5299999998</v>
      </c>
      <c r="Q15" s="26"/>
      <c r="R15" s="29">
        <v>-1345711.508255</v>
      </c>
      <c r="S15" s="26"/>
      <c r="T15" s="29">
        <v>-3771660.1868826668</v>
      </c>
      <c r="U15" s="26"/>
      <c r="V15" s="29">
        <v>-2483054.2873922223</v>
      </c>
      <c r="W15" s="26"/>
      <c r="X15" s="29">
        <v>-1618735.8001316669</v>
      </c>
      <c r="Y15" s="26"/>
      <c r="Z15" s="29">
        <v>-1067945.4256866667</v>
      </c>
      <c r="AA15" s="26"/>
      <c r="AB15" s="29">
        <v>-3191423.4634676669</v>
      </c>
      <c r="AC15" s="26"/>
      <c r="AD15" s="29">
        <v>-2204109.4969376666</v>
      </c>
      <c r="AE15" s="26"/>
      <c r="AF15" s="29">
        <v>-1288345.6370455003</v>
      </c>
      <c r="AG15" s="26"/>
      <c r="AH15" s="29">
        <v>-638825.18999999994</v>
      </c>
      <c r="AI15" s="26"/>
      <c r="AJ15" s="29">
        <v>-1648659.79</v>
      </c>
      <c r="AK15" s="26"/>
      <c r="AL15" s="29">
        <v>-1163318.1000000001</v>
      </c>
      <c r="AM15" s="26"/>
      <c r="AN15" s="29">
        <v>-858777.65</v>
      </c>
      <c r="AO15" s="26"/>
      <c r="AP15" s="29">
        <v>-398121.77</v>
      </c>
      <c r="AQ15" s="26"/>
      <c r="AR15" s="29">
        <v>-1736975.81</v>
      </c>
      <c r="AS15" s="26"/>
      <c r="AT15" s="29">
        <v>-1323310.05</v>
      </c>
      <c r="AU15" s="26"/>
      <c r="AV15" s="29">
        <v>-1100390.98</v>
      </c>
      <c r="AW15" s="26"/>
      <c r="AX15" s="29">
        <v>-473126.41000000003</v>
      </c>
      <c r="AY15" s="26"/>
      <c r="AZ15" s="29">
        <v>-1732911.15</v>
      </c>
      <c r="BA15" s="26"/>
      <c r="BB15" s="29">
        <v>-1280312.42</v>
      </c>
      <c r="BC15" s="26"/>
      <c r="BD15" s="29">
        <v>-830794.77</v>
      </c>
      <c r="BE15" s="26"/>
      <c r="BF15" s="29">
        <v>-475097.54</v>
      </c>
      <c r="BG15" s="26"/>
      <c r="BH15" s="29">
        <v>-2441853.41</v>
      </c>
      <c r="BI15" s="26"/>
      <c r="BJ15" s="29">
        <v>-1984495.66</v>
      </c>
      <c r="BK15" s="26"/>
      <c r="BL15" s="29">
        <v>-1539694.5099999998</v>
      </c>
      <c r="BM15" s="26"/>
      <c r="BN15" s="29">
        <v>-1209515.7200000002</v>
      </c>
      <c r="BO15" s="26"/>
      <c r="BP15" s="29">
        <v>-860592.58</v>
      </c>
      <c r="BQ15" s="26"/>
      <c r="BR15" s="29">
        <v>-681080.9</v>
      </c>
      <c r="BS15" s="26"/>
      <c r="BT15" s="29">
        <v>-262143.61</v>
      </c>
      <c r="BU15" s="26"/>
      <c r="BV15" s="29">
        <v>-1218280.3900000001</v>
      </c>
      <c r="BW15" s="26"/>
      <c r="BX15" s="29">
        <v>-965809.26</v>
      </c>
      <c r="BY15" s="26"/>
      <c r="BZ15" s="29">
        <v>-730964.30999999994</v>
      </c>
      <c r="CA15" s="26"/>
      <c r="CB15" s="29">
        <v>-305533.73</v>
      </c>
      <c r="CC15" s="26"/>
      <c r="CD15" s="29">
        <v>-1218863.6000000001</v>
      </c>
      <c r="CE15" s="26"/>
      <c r="CF15" s="29">
        <v>-985244.66000000015</v>
      </c>
      <c r="CG15" s="26"/>
      <c r="CH15" s="29">
        <v>-766282.79</v>
      </c>
      <c r="CI15" s="26"/>
      <c r="CJ15" s="29">
        <v>-307192.59999999998</v>
      </c>
      <c r="CK15" s="26"/>
      <c r="CL15" s="29">
        <v>-2090816.6600000001</v>
      </c>
      <c r="CM15" s="26"/>
      <c r="CN15" s="29">
        <v>-1608339.33</v>
      </c>
      <c r="CO15" s="26"/>
      <c r="CP15" s="29">
        <v>-1248186.7999999998</v>
      </c>
      <c r="CQ15" s="26"/>
      <c r="CR15" s="29">
        <v>-652911.54999999993</v>
      </c>
      <c r="CS15" s="26"/>
      <c r="CT15" s="29">
        <v>-3010319.7499999995</v>
      </c>
      <c r="CU15" s="26"/>
      <c r="CV15" s="29">
        <v>-2177389.7199999997</v>
      </c>
      <c r="CW15" s="8"/>
      <c r="CX15" s="29">
        <v>-1488992.28</v>
      </c>
      <c r="CZ15" s="29">
        <v>-1711932.6300000001</v>
      </c>
      <c r="DA15" s="26"/>
      <c r="DB15" s="29">
        <v>-1308662.46</v>
      </c>
      <c r="DC15" s="75"/>
      <c r="DD15" s="29"/>
      <c r="DE15" s="7"/>
      <c r="DF15" s="29"/>
      <c r="DG15" s="7"/>
      <c r="DH15" s="29"/>
      <c r="DI15" s="7"/>
      <c r="DJ15" s="29">
        <f t="shared" si="0"/>
        <v>-1393762.4327739999</v>
      </c>
      <c r="DK15" s="7"/>
      <c r="DL15" s="29">
        <f t="shared" si="1"/>
        <v>-1691355.6023468883</v>
      </c>
      <c r="DM15" s="7"/>
      <c r="DN15" s="29">
        <f t="shared" si="1"/>
        <v>-1411644.9725097781</v>
      </c>
      <c r="DO15" s="7"/>
      <c r="DP15" s="29">
        <f t="shared" si="1"/>
        <v>-1167376.0217449998</v>
      </c>
      <c r="DQ15" s="7"/>
      <c r="DR15" s="29">
        <f t="shared" si="2"/>
        <v>-1345711.508255</v>
      </c>
      <c r="DS15" s="7"/>
      <c r="DT15" s="29">
        <f t="shared" si="3"/>
        <v>-1288605.8994904445</v>
      </c>
      <c r="DU15" s="7"/>
      <c r="DV15" s="29">
        <f t="shared" si="3"/>
        <v>-864318.48726055538</v>
      </c>
      <c r="DW15" s="7"/>
      <c r="DX15" s="29">
        <f t="shared" si="3"/>
        <v>-550790.3744450002</v>
      </c>
      <c r="DY15" s="7"/>
      <c r="DZ15" s="29">
        <f t="shared" si="4"/>
        <v>-1067945.4256866667</v>
      </c>
      <c r="EA15" s="7"/>
      <c r="EB15" s="29">
        <f t="shared" si="5"/>
        <v>-987313.96653000033</v>
      </c>
      <c r="EC15" s="7"/>
      <c r="ED15" s="29">
        <f t="shared" si="5"/>
        <v>-915763.85989216622</v>
      </c>
      <c r="EE15" s="7"/>
      <c r="EF15" s="29">
        <f t="shared" si="5"/>
        <v>-649520.44704550039</v>
      </c>
      <c r="EG15" s="7"/>
      <c r="EH15" s="29">
        <f t="shared" si="6"/>
        <v>-638825.18999999994</v>
      </c>
      <c r="EI15" s="7"/>
      <c r="EJ15" s="29">
        <f t="shared" si="7"/>
        <v>-485341.68999999994</v>
      </c>
      <c r="EK15" s="7"/>
      <c r="EL15" s="29">
        <f t="shared" si="7"/>
        <v>-304540.45000000007</v>
      </c>
      <c r="EM15" s="7"/>
      <c r="EN15" s="29">
        <f t="shared" si="8"/>
        <v>-460655.88</v>
      </c>
      <c r="EO15" s="7"/>
      <c r="EP15" s="29">
        <f t="shared" si="9"/>
        <v>-398121.77</v>
      </c>
      <c r="EQ15" s="7"/>
      <c r="ER15" s="29">
        <f t="shared" si="10"/>
        <v>-413665.76</v>
      </c>
      <c r="ES15" s="7"/>
      <c r="ET15" s="29">
        <f t="shared" si="11"/>
        <v>-222919.07000000007</v>
      </c>
      <c r="EU15" s="7"/>
      <c r="EV15" s="29">
        <f t="shared" si="12"/>
        <v>-627264.56999999995</v>
      </c>
      <c r="EW15" s="7"/>
      <c r="EX15" s="29">
        <f t="shared" si="13"/>
        <v>-473126.41000000003</v>
      </c>
      <c r="EY15" s="7"/>
      <c r="EZ15" s="29">
        <f t="shared" si="14"/>
        <v>-452598.73</v>
      </c>
      <c r="FA15" s="7"/>
      <c r="FB15" s="29">
        <f t="shared" si="15"/>
        <v>-449517.64999999991</v>
      </c>
      <c r="FC15" s="7"/>
      <c r="FD15" s="29">
        <f t="shared" si="16"/>
        <v>-355697.23000000004</v>
      </c>
      <c r="FE15" s="7"/>
      <c r="FF15" s="29">
        <f t="shared" si="17"/>
        <v>-475097.54</v>
      </c>
      <c r="FG15" s="7"/>
      <c r="FH15" s="29">
        <v>-441127.49</v>
      </c>
      <c r="FI15" s="7"/>
      <c r="FJ15" s="29">
        <f t="shared" si="18"/>
        <v>-444801.15000000014</v>
      </c>
      <c r="FK15" s="7"/>
      <c r="FL15" s="29">
        <f t="shared" si="19"/>
        <v>-330178.78999999957</v>
      </c>
      <c r="FM15" s="7"/>
      <c r="FN15" s="29">
        <f t="shared" si="20"/>
        <v>-348923.14000000025</v>
      </c>
      <c r="FO15" s="7"/>
      <c r="FP15" s="29">
        <f t="shared" si="21"/>
        <v>-179511.67999999993</v>
      </c>
      <c r="FQ15" s="7"/>
      <c r="FR15" s="29">
        <f t="shared" si="22"/>
        <v>-418937.29000000004</v>
      </c>
      <c r="FS15" s="7"/>
      <c r="FT15" s="29">
        <f t="shared" si="23"/>
        <v>-262143.61</v>
      </c>
      <c r="FU15" s="7"/>
      <c r="FV15" s="29">
        <f t="shared" si="24"/>
        <v>-252471.13000000012</v>
      </c>
      <c r="FW15" s="7"/>
      <c r="FX15" s="29">
        <f t="shared" si="25"/>
        <v>-234844.95000000007</v>
      </c>
      <c r="FY15" s="7"/>
      <c r="FZ15" s="29">
        <f t="shared" si="26"/>
        <v>-425430.57999999996</v>
      </c>
      <c r="GA15" s="7"/>
      <c r="GB15" s="29">
        <f t="shared" si="27"/>
        <v>-305533.73</v>
      </c>
      <c r="GC15" s="7"/>
      <c r="GD15" s="29">
        <f t="shared" si="28"/>
        <v>-233618.93999999994</v>
      </c>
      <c r="GE15" s="7"/>
      <c r="GF15" s="29">
        <f t="shared" si="29"/>
        <v>-218961.87000000011</v>
      </c>
      <c r="GG15" s="7"/>
      <c r="GH15" s="29">
        <f t="shared" si="30"/>
        <v>-459090.19000000006</v>
      </c>
      <c r="GI15" s="7"/>
      <c r="GJ15" s="29">
        <f t="shared" si="31"/>
        <v>-307192.59999999998</v>
      </c>
      <c r="GK15" s="7"/>
      <c r="GL15" s="29">
        <f t="shared" si="32"/>
        <v>-482477.33000000007</v>
      </c>
      <c r="GM15" s="7"/>
      <c r="GN15" s="29">
        <f t="shared" si="33"/>
        <v>-360152.53000000026</v>
      </c>
      <c r="GO15" s="7"/>
      <c r="GP15" s="29">
        <f t="shared" si="34"/>
        <v>-595275.24999999988</v>
      </c>
      <c r="GR15" s="29">
        <f t="shared" si="35"/>
        <v>-652911.54999999993</v>
      </c>
      <c r="GS15" s="7"/>
      <c r="GT15" s="29">
        <f t="shared" si="36"/>
        <v>-832930.0299999998</v>
      </c>
      <c r="GU15" s="7"/>
      <c r="GV15" s="29">
        <f t="shared" si="37"/>
        <v>-688397.43999999971</v>
      </c>
    </row>
    <row r="16" spans="1:204">
      <c r="B16" s="147" t="s">
        <v>252</v>
      </c>
      <c r="C16" s="26"/>
      <c r="D16" s="29"/>
      <c r="E16" s="26"/>
      <c r="F16" s="29"/>
      <c r="G16" s="26"/>
      <c r="H16" s="29"/>
      <c r="I16" s="26"/>
      <c r="J16" s="29">
        <v>0</v>
      </c>
      <c r="K16" s="26"/>
      <c r="L16" s="29">
        <v>0</v>
      </c>
      <c r="M16" s="26"/>
      <c r="N16" s="29">
        <v>0</v>
      </c>
      <c r="O16" s="26"/>
      <c r="P16" s="29">
        <v>0</v>
      </c>
      <c r="Q16" s="26"/>
      <c r="R16" s="29">
        <v>0</v>
      </c>
      <c r="S16" s="26"/>
      <c r="T16" s="29">
        <v>0</v>
      </c>
      <c r="U16" s="26"/>
      <c r="V16" s="29">
        <v>0</v>
      </c>
      <c r="W16" s="26"/>
      <c r="X16" s="29">
        <v>0</v>
      </c>
      <c r="Y16" s="26"/>
      <c r="Z16" s="29">
        <v>0</v>
      </c>
      <c r="AA16" s="26"/>
      <c r="AB16" s="29">
        <v>5874205.7084021242</v>
      </c>
      <c r="AC16" s="26"/>
      <c r="AD16" s="29">
        <v>5874205.7084021242</v>
      </c>
      <c r="AE16" s="26"/>
      <c r="AF16" s="29">
        <v>5874205.7084021242</v>
      </c>
      <c r="AG16" s="26"/>
      <c r="AH16" s="29">
        <v>0</v>
      </c>
      <c r="AI16" s="26"/>
      <c r="AJ16" s="29">
        <v>0</v>
      </c>
      <c r="AK16" s="26"/>
      <c r="AL16" s="29">
        <v>0</v>
      </c>
      <c r="AM16" s="26"/>
      <c r="AN16" s="29">
        <v>0</v>
      </c>
      <c r="AO16" s="26"/>
      <c r="AP16" s="29">
        <v>0</v>
      </c>
      <c r="AQ16" s="26"/>
      <c r="AR16" s="29">
        <v>0</v>
      </c>
      <c r="AS16" s="26"/>
      <c r="AT16" s="29">
        <v>0</v>
      </c>
      <c r="AU16" s="26"/>
      <c r="AV16" s="29">
        <v>0</v>
      </c>
      <c r="AW16" s="26"/>
      <c r="AX16" s="29">
        <v>0</v>
      </c>
      <c r="AY16" s="26"/>
      <c r="AZ16" s="29">
        <v>0</v>
      </c>
      <c r="BA16" s="26"/>
      <c r="BB16" s="29">
        <v>0</v>
      </c>
      <c r="BC16" s="26"/>
      <c r="BD16" s="29">
        <v>0</v>
      </c>
      <c r="BE16" s="26"/>
      <c r="BF16" s="29">
        <v>0</v>
      </c>
      <c r="BG16" s="26"/>
      <c r="BH16" s="29">
        <v>9404177.1611000001</v>
      </c>
      <c r="BI16" s="26"/>
      <c r="BJ16" s="29">
        <v>10176701.9811</v>
      </c>
      <c r="BK16" s="26"/>
      <c r="BL16" s="29">
        <v>7318045.3499999996</v>
      </c>
      <c r="BM16" s="26"/>
      <c r="BN16" s="29"/>
      <c r="BO16" s="26"/>
      <c r="BP16" s="29"/>
      <c r="BQ16" s="26"/>
      <c r="BR16" s="29"/>
      <c r="BS16" s="26"/>
      <c r="BT16" s="29"/>
      <c r="BU16" s="26"/>
      <c r="BV16" s="29"/>
      <c r="BW16" s="26"/>
      <c r="BX16" s="29"/>
      <c r="BY16" s="26"/>
      <c r="BZ16" s="29"/>
      <c r="CA16" s="26"/>
      <c r="CB16" s="29"/>
      <c r="CC16" s="26"/>
      <c r="CD16" s="29"/>
      <c r="CE16" s="26"/>
      <c r="CF16" s="29"/>
      <c r="CG16" s="26"/>
      <c r="CH16" s="29"/>
      <c r="CI16" s="26"/>
      <c r="CJ16" s="29"/>
      <c r="CK16" s="26"/>
      <c r="CL16" s="29"/>
      <c r="CM16" s="26"/>
      <c r="CN16" s="29"/>
      <c r="CO16" s="26"/>
      <c r="CP16" s="29"/>
      <c r="CQ16" s="26"/>
      <c r="CR16" s="29"/>
      <c r="CS16" s="26"/>
      <c r="CT16" s="29"/>
      <c r="CU16" s="26"/>
      <c r="CV16" s="29"/>
      <c r="CW16" s="8"/>
      <c r="CX16" s="29"/>
      <c r="CZ16" s="29"/>
      <c r="DA16" s="26"/>
      <c r="DB16" s="29"/>
      <c r="DC16" s="75"/>
      <c r="DD16" s="29"/>
      <c r="DE16" s="7"/>
      <c r="DF16" s="29"/>
      <c r="DG16" s="7"/>
      <c r="DH16" s="29"/>
      <c r="DI16" s="7"/>
      <c r="DJ16" s="29">
        <f t="shared" si="0"/>
        <v>0</v>
      </c>
      <c r="DK16" s="7"/>
      <c r="DL16" s="29">
        <f t="shared" si="1"/>
        <v>0</v>
      </c>
      <c r="DM16" s="7"/>
      <c r="DN16" s="29">
        <f t="shared" si="1"/>
        <v>0</v>
      </c>
      <c r="DO16" s="7"/>
      <c r="DP16" s="29">
        <f t="shared" si="1"/>
        <v>0</v>
      </c>
      <c r="DQ16" s="7"/>
      <c r="DR16" s="29">
        <f t="shared" si="2"/>
        <v>0</v>
      </c>
      <c r="DS16" s="7"/>
      <c r="DT16" s="29">
        <f t="shared" si="3"/>
        <v>0</v>
      </c>
      <c r="DU16" s="7"/>
      <c r="DV16" s="29">
        <f t="shared" si="3"/>
        <v>0</v>
      </c>
      <c r="DW16" s="7"/>
      <c r="DX16" s="29">
        <f t="shared" si="3"/>
        <v>0</v>
      </c>
      <c r="DY16" s="7"/>
      <c r="DZ16" s="29">
        <f t="shared" si="4"/>
        <v>0</v>
      </c>
      <c r="EA16" s="7"/>
      <c r="EB16" s="29">
        <f t="shared" si="5"/>
        <v>0</v>
      </c>
      <c r="EC16" s="7"/>
      <c r="ED16" s="29">
        <f t="shared" si="5"/>
        <v>0</v>
      </c>
      <c r="EE16" s="7"/>
      <c r="EF16" s="29">
        <f t="shared" si="5"/>
        <v>5874205.7084021242</v>
      </c>
      <c r="EG16" s="7"/>
      <c r="EH16" s="29">
        <f t="shared" si="6"/>
        <v>0</v>
      </c>
      <c r="EI16" s="7"/>
      <c r="EJ16" s="29">
        <f t="shared" si="7"/>
        <v>0</v>
      </c>
      <c r="EK16" s="7"/>
      <c r="EL16" s="29">
        <f t="shared" si="7"/>
        <v>0</v>
      </c>
      <c r="EM16" s="7"/>
      <c r="EN16" s="29">
        <f t="shared" si="8"/>
        <v>0</v>
      </c>
      <c r="EO16" s="7"/>
      <c r="EP16" s="29">
        <f t="shared" si="9"/>
        <v>0</v>
      </c>
      <c r="EQ16" s="7"/>
      <c r="ER16" s="29">
        <f t="shared" si="10"/>
        <v>0</v>
      </c>
      <c r="ES16" s="7"/>
      <c r="ET16" s="29">
        <f t="shared" si="11"/>
        <v>0</v>
      </c>
      <c r="EU16" s="7"/>
      <c r="EV16" s="29">
        <f t="shared" si="12"/>
        <v>0</v>
      </c>
      <c r="EW16" s="7"/>
      <c r="EX16" s="29">
        <f t="shared" si="13"/>
        <v>0</v>
      </c>
      <c r="EY16" s="7"/>
      <c r="EZ16" s="29">
        <f t="shared" si="14"/>
        <v>0</v>
      </c>
      <c r="FA16" s="7"/>
      <c r="FB16" s="29">
        <f t="shared" si="15"/>
        <v>0</v>
      </c>
      <c r="FC16" s="7"/>
      <c r="FD16" s="29">
        <f t="shared" si="16"/>
        <v>0</v>
      </c>
      <c r="FE16" s="7"/>
      <c r="FF16" s="29">
        <f t="shared" si="17"/>
        <v>0</v>
      </c>
      <c r="FG16" s="7"/>
      <c r="FH16" s="29">
        <v>-772524.82000000053</v>
      </c>
      <c r="FI16" s="7"/>
      <c r="FJ16" s="29">
        <f t="shared" si="18"/>
        <v>2858656.6311000008</v>
      </c>
      <c r="FK16" s="7"/>
      <c r="FL16" s="29">
        <f t="shared" si="19"/>
        <v>7318045.3499999996</v>
      </c>
      <c r="FM16" s="7"/>
      <c r="FN16" s="29"/>
      <c r="FO16" s="7"/>
      <c r="FP16" s="29"/>
      <c r="FQ16" s="7"/>
      <c r="FR16" s="29"/>
      <c r="FS16" s="7"/>
      <c r="FT16" s="29"/>
      <c r="FU16" s="7"/>
      <c r="FV16" s="29"/>
      <c r="FW16" s="7"/>
      <c r="FX16" s="29"/>
      <c r="FY16" s="7"/>
      <c r="FZ16" s="29"/>
      <c r="GA16" s="7"/>
      <c r="GB16" s="29"/>
      <c r="GC16" s="7"/>
      <c r="GD16" s="29"/>
      <c r="GE16" s="7"/>
      <c r="GF16" s="29"/>
      <c r="GG16" s="7"/>
      <c r="GH16" s="29"/>
      <c r="GI16" s="7"/>
      <c r="GJ16" s="29"/>
      <c r="GK16" s="7"/>
      <c r="GL16" s="29"/>
      <c r="GM16" s="7"/>
      <c r="GN16" s="29"/>
      <c r="GO16" s="7"/>
      <c r="GP16" s="29"/>
      <c r="GR16" s="29"/>
      <c r="GS16" s="7"/>
      <c r="GT16" s="29"/>
      <c r="GU16" s="7"/>
      <c r="GV16" s="29"/>
    </row>
    <row r="17" spans="2:204">
      <c r="B17" s="26" t="s">
        <v>63</v>
      </c>
      <c r="C17" s="26"/>
      <c r="D17" s="29"/>
      <c r="E17" s="26"/>
      <c r="F17" s="29"/>
      <c r="G17" s="26"/>
      <c r="H17" s="29"/>
      <c r="I17" s="26"/>
      <c r="J17" s="29">
        <v>85532.108309000003</v>
      </c>
      <c r="K17" s="26"/>
      <c r="L17" s="29">
        <v>-1049382.6582377502</v>
      </c>
      <c r="M17" s="26"/>
      <c r="N17" s="29">
        <v>-274669.88320688903</v>
      </c>
      <c r="O17" s="26"/>
      <c r="P17" s="29">
        <v>-393927.32</v>
      </c>
      <c r="Q17" s="26"/>
      <c r="R17" s="29">
        <v>-112020.44598566667</v>
      </c>
      <c r="S17" s="26"/>
      <c r="T17" s="29">
        <v>-1491482.6535427454</v>
      </c>
      <c r="U17" s="26"/>
      <c r="V17" s="29">
        <v>-73100.439834190067</v>
      </c>
      <c r="W17" s="26"/>
      <c r="X17" s="29">
        <v>-150619.45797457854</v>
      </c>
      <c r="Y17" s="26"/>
      <c r="Z17" s="29">
        <v>224444.62515000004</v>
      </c>
      <c r="AA17" s="26"/>
      <c r="AB17" s="29">
        <v>1729102.0864269133</v>
      </c>
      <c r="AC17" s="26"/>
      <c r="AD17" s="29">
        <v>1180317.6087937376</v>
      </c>
      <c r="AE17" s="26"/>
      <c r="AF17" s="29">
        <v>773765.03715500014</v>
      </c>
      <c r="AG17" s="26"/>
      <c r="AH17" s="29">
        <v>417059.4495000001</v>
      </c>
      <c r="AI17" s="26"/>
      <c r="AJ17" s="29">
        <v>1473765.548</v>
      </c>
      <c r="AK17" s="26"/>
      <c r="AL17" s="29">
        <v>1502928.0085</v>
      </c>
      <c r="AM17" s="26"/>
      <c r="AN17" s="29">
        <v>472707.82899999997</v>
      </c>
      <c r="AO17" s="26"/>
      <c r="AP17" s="29">
        <v>315349.24950000003</v>
      </c>
      <c r="AQ17" s="26"/>
      <c r="AR17" s="29">
        <v>730204.07800000021</v>
      </c>
      <c r="AS17" s="26"/>
      <c r="AT17" s="29">
        <v>737681.45849999995</v>
      </c>
      <c r="AU17" s="26"/>
      <c r="AV17" s="29">
        <v>634481.5290000001</v>
      </c>
      <c r="AW17" s="26"/>
      <c r="AX17" s="29">
        <v>288100.61949999997</v>
      </c>
      <c r="AY17" s="26"/>
      <c r="AZ17" s="29">
        <v>3869134.3880000007</v>
      </c>
      <c r="BA17" s="26"/>
      <c r="BB17" s="29">
        <v>3823657.1685000001</v>
      </c>
      <c r="BC17" s="26"/>
      <c r="BD17" s="29">
        <v>3508821.8343929206</v>
      </c>
      <c r="BE17" s="26"/>
      <c r="BF17" s="29">
        <v>1245842.4448929199</v>
      </c>
      <c r="BG17" s="26"/>
      <c r="BH17" s="29">
        <v>9652069.9786666669</v>
      </c>
      <c r="BI17" s="26"/>
      <c r="BJ17" s="29">
        <v>2500605.729166666</v>
      </c>
      <c r="BK17" s="26"/>
      <c r="BL17" s="29">
        <v>2281450.2496666661</v>
      </c>
      <c r="BM17" s="26"/>
      <c r="BN17" s="29">
        <v>1861773.0800000005</v>
      </c>
      <c r="BO17" s="26"/>
      <c r="BP17" s="29">
        <v>1604486</v>
      </c>
      <c r="BQ17" s="26"/>
      <c r="BR17" s="29">
        <v>1198848.6000000001</v>
      </c>
      <c r="BS17" s="26"/>
      <c r="BT17" s="29">
        <v>760074.93</v>
      </c>
      <c r="BU17" s="26"/>
      <c r="BV17" s="29">
        <v>2680727.04</v>
      </c>
      <c r="BW17" s="26"/>
      <c r="BX17" s="29">
        <v>1530678.75</v>
      </c>
      <c r="BY17" s="26"/>
      <c r="BZ17" s="29">
        <v>1097531.46</v>
      </c>
      <c r="CA17" s="26"/>
      <c r="CB17" s="29">
        <v>385154.11000000004</v>
      </c>
      <c r="CC17" s="26"/>
      <c r="CD17" s="29">
        <v>348854.39</v>
      </c>
      <c r="CE17" s="26"/>
      <c r="CF17" s="29">
        <v>-47057.85</v>
      </c>
      <c r="CG17" s="26"/>
      <c r="CH17" s="29">
        <v>-78196.31</v>
      </c>
      <c r="CI17" s="26"/>
      <c r="CJ17" s="29">
        <v>8752.9199999999983</v>
      </c>
      <c r="CK17" s="26"/>
      <c r="CL17" s="29">
        <v>-90307.73</v>
      </c>
      <c r="CM17" s="26"/>
      <c r="CN17" s="29">
        <v>359178.98</v>
      </c>
      <c r="CO17" s="26"/>
      <c r="CP17" s="29">
        <v>201112.97000000003</v>
      </c>
      <c r="CQ17" s="26"/>
      <c r="CR17" s="29">
        <v>10386.419999999996</v>
      </c>
      <c r="CS17" s="26"/>
      <c r="CT17" s="29">
        <v>167647.59</v>
      </c>
      <c r="CU17" s="26"/>
      <c r="CV17" s="29">
        <v>84828.31</v>
      </c>
      <c r="CW17" s="8"/>
      <c r="CX17" s="29">
        <v>52314.90999999996</v>
      </c>
      <c r="CZ17" s="29">
        <v>-207262.74</v>
      </c>
      <c r="DA17" s="26"/>
      <c r="DB17" s="29">
        <v>-49799.670000000013</v>
      </c>
      <c r="DC17" s="75"/>
      <c r="DD17" s="29"/>
      <c r="DE17" s="7"/>
      <c r="DF17" s="29"/>
      <c r="DG17" s="7"/>
      <c r="DH17" s="29"/>
      <c r="DI17" s="7"/>
      <c r="DJ17" s="29">
        <f t="shared" si="0"/>
        <v>85532.108309000003</v>
      </c>
      <c r="DK17" s="7"/>
      <c r="DL17" s="29">
        <f t="shared" si="1"/>
        <v>-774712.77503086114</v>
      </c>
      <c r="DM17" s="7"/>
      <c r="DN17" s="29">
        <f t="shared" si="1"/>
        <v>119257.43679311097</v>
      </c>
      <c r="DO17" s="7"/>
      <c r="DP17" s="29">
        <f t="shared" si="1"/>
        <v>-281906.87401433336</v>
      </c>
      <c r="DQ17" s="7"/>
      <c r="DR17" s="29">
        <f t="shared" si="2"/>
        <v>-112020.44598566667</v>
      </c>
      <c r="DS17" s="7"/>
      <c r="DT17" s="29">
        <f t="shared" si="3"/>
        <v>-1418382.2137085553</v>
      </c>
      <c r="DU17" s="7"/>
      <c r="DV17" s="29">
        <f t="shared" si="3"/>
        <v>77519.018140388478</v>
      </c>
      <c r="DW17" s="7"/>
      <c r="DX17" s="29">
        <f t="shared" si="3"/>
        <v>-375064.08312457858</v>
      </c>
      <c r="DY17" s="7"/>
      <c r="DZ17" s="29">
        <f t="shared" si="4"/>
        <v>224444.62515000004</v>
      </c>
      <c r="EA17" s="7"/>
      <c r="EB17" s="29">
        <f t="shared" si="5"/>
        <v>548784.47763317567</v>
      </c>
      <c r="EC17" s="7"/>
      <c r="ED17" s="29">
        <f t="shared" si="5"/>
        <v>406552.57163873746</v>
      </c>
      <c r="EE17" s="7"/>
      <c r="EF17" s="29">
        <f t="shared" si="5"/>
        <v>356705.58765500004</v>
      </c>
      <c r="EG17" s="7"/>
      <c r="EH17" s="29">
        <f t="shared" si="6"/>
        <v>417059.4495000001</v>
      </c>
      <c r="EI17" s="7"/>
      <c r="EJ17" s="29">
        <f t="shared" si="7"/>
        <v>-29162.460500000045</v>
      </c>
      <c r="EK17" s="7"/>
      <c r="EL17" s="29">
        <f t="shared" si="7"/>
        <v>1030220.1795000001</v>
      </c>
      <c r="EM17" s="7"/>
      <c r="EN17" s="29">
        <f t="shared" si="8"/>
        <v>157358.57949999993</v>
      </c>
      <c r="EO17" s="7"/>
      <c r="EP17" s="29">
        <f t="shared" si="9"/>
        <v>315349.24950000003</v>
      </c>
      <c r="EQ17" s="7"/>
      <c r="ER17" s="29">
        <f t="shared" si="10"/>
        <v>-7477.3804999997374</v>
      </c>
      <c r="ES17" s="7"/>
      <c r="ET17" s="29">
        <f t="shared" si="11"/>
        <v>103199.92949999985</v>
      </c>
      <c r="EU17" s="7"/>
      <c r="EV17" s="29">
        <f t="shared" si="12"/>
        <v>346380.90950000013</v>
      </c>
      <c r="EW17" s="7"/>
      <c r="EX17" s="29">
        <f t="shared" si="13"/>
        <v>288100.61949999997</v>
      </c>
      <c r="EY17" s="7"/>
      <c r="EZ17" s="29">
        <f t="shared" si="14"/>
        <v>45477.219500000589</v>
      </c>
      <c r="FA17" s="7"/>
      <c r="FB17" s="29">
        <f t="shared" si="15"/>
        <v>314835.33410707954</v>
      </c>
      <c r="FC17" s="7"/>
      <c r="FD17" s="29">
        <f t="shared" si="16"/>
        <v>2262979.3895000005</v>
      </c>
      <c r="FE17" s="7"/>
      <c r="FF17" s="29">
        <f t="shared" si="17"/>
        <v>1245842.4448929199</v>
      </c>
      <c r="FG17" s="7"/>
      <c r="FH17" s="29">
        <v>113869.12950000021</v>
      </c>
      <c r="FI17" s="7"/>
      <c r="FJ17" s="29">
        <f t="shared" si="18"/>
        <v>219155.4794999999</v>
      </c>
      <c r="FK17" s="7"/>
      <c r="FL17" s="29">
        <f t="shared" si="19"/>
        <v>419677.16966666561</v>
      </c>
      <c r="FM17" s="7"/>
      <c r="FN17" s="29">
        <f>BN17-BP17</f>
        <v>257287.08000000054</v>
      </c>
      <c r="FO17" s="7"/>
      <c r="FP17" s="29">
        <f>BP17-BR17</f>
        <v>405637.39999999991</v>
      </c>
      <c r="FQ17" s="7"/>
      <c r="FR17" s="29">
        <f>BR17-BT17</f>
        <v>438773.67000000004</v>
      </c>
      <c r="FS17" s="7"/>
      <c r="FT17" s="29">
        <f>BT17</f>
        <v>760074.93</v>
      </c>
      <c r="FU17" s="7"/>
      <c r="FV17" s="29">
        <f>BV17-BX17</f>
        <v>1150048.29</v>
      </c>
      <c r="FW17" s="7"/>
      <c r="FX17" s="29">
        <f>BX17-BZ17</f>
        <v>433147.29000000004</v>
      </c>
      <c r="FY17" s="7"/>
      <c r="FZ17" s="29">
        <f>BZ17-CB17</f>
        <v>712377.34999999986</v>
      </c>
      <c r="GA17" s="7"/>
      <c r="GB17" s="29">
        <f>CB17</f>
        <v>385154.11000000004</v>
      </c>
      <c r="GC17" s="7"/>
      <c r="GD17" s="29">
        <f>CD17-CF17</f>
        <v>395912.24</v>
      </c>
      <c r="GE17" s="7"/>
      <c r="GF17" s="29">
        <f>CF17-CH17</f>
        <v>31138.46</v>
      </c>
      <c r="GG17" s="7"/>
      <c r="GH17" s="29">
        <f>CH17-CJ17</f>
        <v>-86949.23</v>
      </c>
      <c r="GI17" s="7"/>
      <c r="GJ17" s="29">
        <f>CJ17</f>
        <v>8752.9199999999983</v>
      </c>
      <c r="GK17" s="7"/>
      <c r="GL17" s="29">
        <f>CL17-CN17</f>
        <v>-449486.70999999996</v>
      </c>
      <c r="GM17" s="7"/>
      <c r="GN17" s="29">
        <f>CN17-CP17</f>
        <v>158066.00999999995</v>
      </c>
      <c r="GO17" s="7"/>
      <c r="GP17" s="29">
        <f>CP17-CR17</f>
        <v>190726.55000000005</v>
      </c>
      <c r="GR17" s="29">
        <f>CR17</f>
        <v>10386.419999999996</v>
      </c>
      <c r="GS17" s="7"/>
      <c r="GT17" s="29">
        <f t="shared" si="36"/>
        <v>82819.28</v>
      </c>
      <c r="GU17" s="7"/>
      <c r="GV17" s="29">
        <f t="shared" si="37"/>
        <v>32513.400000000038</v>
      </c>
    </row>
    <row r="18" spans="2:204">
      <c r="B18" s="26" t="s">
        <v>64</v>
      </c>
      <c r="C18" s="26"/>
      <c r="D18" s="29"/>
      <c r="E18" s="26"/>
      <c r="F18" s="29"/>
      <c r="G18" s="26"/>
      <c r="H18" s="29"/>
      <c r="I18" s="26"/>
      <c r="J18" s="29">
        <v>-127089691.08983199</v>
      </c>
      <c r="K18" s="26"/>
      <c r="L18" s="29">
        <v>-385373551.76906002</v>
      </c>
      <c r="M18" s="26"/>
      <c r="N18" s="29">
        <v>-305021400.97609437</v>
      </c>
      <c r="O18" s="26"/>
      <c r="P18" s="29">
        <v>-236171780.08000001</v>
      </c>
      <c r="Q18" s="26"/>
      <c r="R18" s="29">
        <v>-195552842.4489783</v>
      </c>
      <c r="S18" s="26"/>
      <c r="T18" s="29">
        <v>-277378016.72006869</v>
      </c>
      <c r="U18" s="26"/>
      <c r="V18" s="29">
        <v>-195886277.58711952</v>
      </c>
      <c r="W18" s="26"/>
      <c r="X18" s="29">
        <v>-136315821.575304</v>
      </c>
      <c r="Y18" s="26"/>
      <c r="Z18" s="29">
        <v>-99371674.405360013</v>
      </c>
      <c r="AA18" s="26"/>
      <c r="AB18" s="29">
        <v>-90688112.030372664</v>
      </c>
      <c r="AC18" s="26"/>
      <c r="AD18" s="29">
        <v>-57696090.018607676</v>
      </c>
      <c r="AE18" s="26"/>
      <c r="AF18" s="29">
        <v>-41212214.274010003</v>
      </c>
      <c r="AG18" s="26"/>
      <c r="AH18" s="29">
        <v>-20850761.73</v>
      </c>
      <c r="AI18" s="26"/>
      <c r="AJ18" s="29">
        <v>-75174681.399999991</v>
      </c>
      <c r="AK18" s="26"/>
      <c r="AL18" s="29">
        <v>-39169418.18</v>
      </c>
      <c r="AM18" s="26"/>
      <c r="AN18" s="29">
        <v>-33327984.34</v>
      </c>
      <c r="AO18" s="26"/>
      <c r="AP18" s="29">
        <v>-19350114.460000001</v>
      </c>
      <c r="AQ18" s="26"/>
      <c r="AR18" s="29">
        <v>-74377233.819999993</v>
      </c>
      <c r="AS18" s="26"/>
      <c r="AT18" s="29">
        <v>-59355676.779999994</v>
      </c>
      <c r="AU18" s="26"/>
      <c r="AV18" s="29">
        <v>-47706006.989999995</v>
      </c>
      <c r="AW18" s="26"/>
      <c r="AX18" s="29">
        <v>-24045363.990000002</v>
      </c>
      <c r="AY18" s="26"/>
      <c r="AZ18" s="29">
        <v>-83646319.469999999</v>
      </c>
      <c r="BA18" s="26"/>
      <c r="BB18" s="29">
        <v>-60981264.030000001</v>
      </c>
      <c r="BC18" s="26"/>
      <c r="BD18" s="29">
        <v>-53373566.950000003</v>
      </c>
      <c r="BE18" s="26"/>
      <c r="BF18" s="29">
        <v>-46221382.68</v>
      </c>
      <c r="BG18" s="26"/>
      <c r="BH18" s="29">
        <v>-51670209.689999998</v>
      </c>
      <c r="BI18" s="26"/>
      <c r="BJ18" s="29">
        <v>-37144985.919999994</v>
      </c>
      <c r="BK18" s="26"/>
      <c r="BL18" s="29">
        <v>-33190497.440000001</v>
      </c>
      <c r="BM18" s="26"/>
      <c r="BN18" s="29">
        <v>-31593581.27</v>
      </c>
      <c r="BO18" s="26"/>
      <c r="BP18" s="29">
        <v>-8709619.870000001</v>
      </c>
      <c r="BQ18" s="26"/>
      <c r="BR18" s="29">
        <v>-3585118.92</v>
      </c>
      <c r="BS18" s="26"/>
      <c r="BT18" s="29">
        <v>-1430849.99</v>
      </c>
      <c r="BU18" s="26"/>
      <c r="BV18" s="29">
        <v>-25132082.219999999</v>
      </c>
      <c r="BW18" s="26"/>
      <c r="BX18" s="29">
        <v>-17306683.280000001</v>
      </c>
      <c r="BY18" s="26"/>
      <c r="BZ18" s="29">
        <v>-9233488.3599999994</v>
      </c>
      <c r="CA18" s="26"/>
      <c r="CB18" s="29">
        <v>-2547835.13</v>
      </c>
      <c r="CC18" s="26"/>
      <c r="CD18" s="29">
        <v>-56755911.339999996</v>
      </c>
      <c r="CE18" s="26"/>
      <c r="CF18" s="29">
        <v>-38589767.109999999</v>
      </c>
      <c r="CG18" s="26"/>
      <c r="CH18" s="29">
        <v>-6104442.1900000004</v>
      </c>
      <c r="CI18" s="26"/>
      <c r="CJ18" s="29">
        <v>-4190723.87</v>
      </c>
      <c r="CK18" s="26"/>
      <c r="CL18" s="29">
        <v>-45436417.890000001</v>
      </c>
      <c r="CM18" s="26"/>
      <c r="CN18" s="29">
        <v>-25749603.629999999</v>
      </c>
      <c r="CO18" s="26"/>
      <c r="CP18" s="29">
        <v>-12238682.559999999</v>
      </c>
      <c r="CQ18" s="26"/>
      <c r="CR18" s="29">
        <v>-2415339.48</v>
      </c>
      <c r="CS18" s="26"/>
      <c r="CT18" s="29">
        <v>-37415076.259999998</v>
      </c>
      <c r="CU18" s="26"/>
      <c r="CV18" s="29">
        <v>-22017178.52</v>
      </c>
      <c r="CW18" s="8"/>
      <c r="CX18" s="29">
        <v>-8469519.4299999997</v>
      </c>
      <c r="CZ18" s="29">
        <v>-40478778.740000002</v>
      </c>
      <c r="DA18" s="26"/>
      <c r="DB18" s="29">
        <v>-28427650.350000001</v>
      </c>
      <c r="DC18" s="75"/>
      <c r="DD18" s="29"/>
      <c r="DF18" s="29"/>
      <c r="DH18" s="29"/>
      <c r="DJ18" s="29">
        <f t="shared" si="0"/>
        <v>-127089691.08983199</v>
      </c>
      <c r="DL18" s="29">
        <f t="shared" si="1"/>
        <v>-80352150.792965651</v>
      </c>
      <c r="DN18" s="29">
        <f t="shared" si="1"/>
        <v>-68849620.896094352</v>
      </c>
      <c r="DP18" s="29">
        <f t="shared" si="1"/>
        <v>-40618937.631021708</v>
      </c>
      <c r="DR18" s="29">
        <f t="shared" si="2"/>
        <v>-195552842.4489783</v>
      </c>
      <c r="DT18" s="29">
        <f t="shared" si="3"/>
        <v>-81491739.132949173</v>
      </c>
      <c r="DV18" s="29">
        <f t="shared" si="3"/>
        <v>-59570456.011815518</v>
      </c>
      <c r="DX18" s="29">
        <f t="shared" si="3"/>
        <v>-36944147.169943988</v>
      </c>
      <c r="DZ18" s="29">
        <f t="shared" si="4"/>
        <v>-99371674.405360013</v>
      </c>
      <c r="EB18" s="29">
        <f t="shared" si="5"/>
        <v>-32992022.011764988</v>
      </c>
      <c r="ED18" s="29">
        <f t="shared" si="5"/>
        <v>-16483875.744597673</v>
      </c>
      <c r="EF18" s="29">
        <f t="shared" si="5"/>
        <v>-20361452.544010002</v>
      </c>
      <c r="EH18" s="29">
        <f t="shared" si="6"/>
        <v>-20850761.73</v>
      </c>
      <c r="EJ18" s="29">
        <f t="shared" si="7"/>
        <v>-36005263.219999991</v>
      </c>
      <c r="EL18" s="29">
        <f t="shared" si="7"/>
        <v>-5841433.8399999999</v>
      </c>
      <c r="EN18" s="29">
        <f t="shared" si="8"/>
        <v>-13977869.879999999</v>
      </c>
      <c r="EP18" s="29">
        <f t="shared" si="9"/>
        <v>-19350114.460000001</v>
      </c>
      <c r="ER18" s="29">
        <f t="shared" si="10"/>
        <v>-15021557.039999999</v>
      </c>
      <c r="ET18" s="29">
        <f t="shared" si="11"/>
        <v>-11649669.789999999</v>
      </c>
      <c r="EV18" s="29">
        <f t="shared" si="12"/>
        <v>-23660642.999999993</v>
      </c>
      <c r="EX18" s="29">
        <f t="shared" si="13"/>
        <v>-24045363.990000002</v>
      </c>
      <c r="EZ18" s="29">
        <f t="shared" si="14"/>
        <v>-22665055.439999998</v>
      </c>
      <c r="FB18" s="29">
        <f t="shared" si="15"/>
        <v>-7607697.0799999982</v>
      </c>
      <c r="FD18" s="29">
        <f t="shared" si="16"/>
        <v>-7152184.2700000033</v>
      </c>
      <c r="FF18" s="29">
        <f t="shared" si="17"/>
        <v>-46221382.68</v>
      </c>
      <c r="FH18" s="29">
        <v>-14525223.770000003</v>
      </c>
      <c r="FJ18" s="29">
        <f t="shared" si="18"/>
        <v>-3954488.479999993</v>
      </c>
      <c r="FL18" s="29">
        <f t="shared" si="19"/>
        <v>-1596916.1700000018</v>
      </c>
      <c r="FN18" s="29">
        <f>BN18-BP18</f>
        <v>-22883961.399999999</v>
      </c>
      <c r="FP18" s="29">
        <f>BP18-BR18</f>
        <v>-5124500.9500000011</v>
      </c>
      <c r="FR18" s="29">
        <f>BR18-BT18</f>
        <v>-2154268.9299999997</v>
      </c>
      <c r="FT18" s="29">
        <f>BT18</f>
        <v>-1430849.99</v>
      </c>
      <c r="FV18" s="29">
        <f>BV18-BX18</f>
        <v>-7825398.9399999976</v>
      </c>
      <c r="FX18" s="29">
        <f>BX18-BZ18</f>
        <v>-8073194.9200000018</v>
      </c>
      <c r="FZ18" s="29">
        <f>BZ18-CB18</f>
        <v>-6685653.2299999995</v>
      </c>
      <c r="GB18" s="29">
        <f>CB18</f>
        <v>-2547835.13</v>
      </c>
      <c r="GD18" s="29">
        <f>CD18-CF18</f>
        <v>-18166144.229999997</v>
      </c>
      <c r="GF18" s="29">
        <f>CF18-CH18</f>
        <v>-32485324.919999998</v>
      </c>
      <c r="GH18" s="29">
        <f>CH18-CJ18</f>
        <v>-1913718.3200000003</v>
      </c>
      <c r="GJ18" s="29">
        <f>CJ18</f>
        <v>-4190723.87</v>
      </c>
      <c r="GL18" s="29">
        <f>CL18-CN18</f>
        <v>-19686814.260000002</v>
      </c>
      <c r="GN18" s="29">
        <f>CN18-CP18</f>
        <v>-13510921.07</v>
      </c>
      <c r="GP18" s="29">
        <f>CP18-CR18</f>
        <v>-9823343.0799999982</v>
      </c>
      <c r="GR18" s="29">
        <f>CR18</f>
        <v>-2415339.48</v>
      </c>
      <c r="GT18" s="29">
        <f t="shared" si="36"/>
        <v>-15397897.739999998</v>
      </c>
      <c r="GV18" s="29">
        <f t="shared" si="37"/>
        <v>-13547659.09</v>
      </c>
    </row>
    <row r="19" spans="2:204">
      <c r="B19" s="26"/>
      <c r="C19" s="26"/>
      <c r="D19" s="29"/>
      <c r="E19" s="26"/>
      <c r="F19" s="29"/>
      <c r="G19" s="26"/>
      <c r="H19" s="29"/>
      <c r="I19" s="26"/>
      <c r="J19" s="29"/>
      <c r="K19" s="26"/>
      <c r="L19" s="29"/>
      <c r="M19" s="26"/>
      <c r="N19" s="29"/>
      <c r="O19" s="26"/>
      <c r="P19" s="29"/>
      <c r="Q19" s="26"/>
      <c r="R19" s="29"/>
      <c r="S19" s="26"/>
      <c r="T19" s="29"/>
      <c r="U19" s="26"/>
      <c r="V19" s="29"/>
      <c r="W19" s="26"/>
      <c r="X19" s="29"/>
      <c r="Y19" s="26"/>
      <c r="Z19" s="29"/>
      <c r="AA19" s="26"/>
      <c r="AB19" s="29"/>
      <c r="AC19" s="26"/>
      <c r="AD19" s="29"/>
      <c r="AE19" s="26"/>
      <c r="AF19" s="29"/>
      <c r="AG19" s="26"/>
      <c r="AH19" s="29"/>
      <c r="AI19" s="26"/>
      <c r="AJ19" s="29"/>
      <c r="AK19" s="26"/>
      <c r="AL19" s="29"/>
      <c r="AM19" s="26"/>
      <c r="AN19" s="29"/>
      <c r="AO19" s="26"/>
      <c r="AP19" s="29"/>
      <c r="AQ19" s="26"/>
      <c r="AR19" s="29"/>
      <c r="AS19" s="26"/>
      <c r="AT19" s="29"/>
      <c r="AU19" s="26"/>
      <c r="AV19" s="29"/>
      <c r="AW19" s="26"/>
      <c r="AX19" s="29"/>
      <c r="AY19" s="26"/>
      <c r="AZ19" s="29"/>
      <c r="BA19" s="26"/>
      <c r="BB19" s="29"/>
      <c r="BC19" s="26"/>
      <c r="BD19" s="29"/>
      <c r="BE19" s="26"/>
      <c r="BF19" s="29"/>
      <c r="BG19" s="26"/>
      <c r="BH19" s="29"/>
      <c r="BI19" s="26"/>
      <c r="BJ19" s="29"/>
      <c r="BK19" s="26"/>
      <c r="BL19" s="29"/>
      <c r="BM19" s="26"/>
      <c r="BN19" s="29"/>
      <c r="BO19" s="26"/>
      <c r="BP19" s="29"/>
      <c r="BQ19" s="26"/>
      <c r="BR19" s="29"/>
      <c r="BS19" s="26"/>
      <c r="BT19" s="29"/>
      <c r="BU19" s="26"/>
      <c r="BV19" s="29"/>
      <c r="BW19" s="26"/>
      <c r="BX19" s="29"/>
      <c r="BY19" s="26"/>
      <c r="BZ19" s="29"/>
      <c r="CA19" s="26"/>
      <c r="CB19" s="29"/>
      <c r="CC19" s="26"/>
      <c r="CD19" s="29"/>
      <c r="CE19" s="26"/>
      <c r="CF19" s="29"/>
      <c r="CG19" s="26"/>
      <c r="CH19" s="29"/>
      <c r="CI19" s="26"/>
      <c r="CJ19" s="29"/>
      <c r="CK19" s="26"/>
      <c r="CL19" s="29"/>
      <c r="CM19" s="26"/>
      <c r="CN19" s="29"/>
      <c r="CO19" s="26"/>
      <c r="CP19" s="29"/>
      <c r="CQ19" s="26"/>
      <c r="CR19" s="29"/>
      <c r="CS19" s="26"/>
      <c r="CT19" s="29"/>
      <c r="CU19" s="26"/>
      <c r="CV19" s="29"/>
      <c r="CW19" s="8"/>
      <c r="CX19" s="29"/>
      <c r="CZ19" s="29"/>
      <c r="DA19" s="26"/>
      <c r="DB19" s="29"/>
      <c r="DC19" s="75"/>
      <c r="DD19" s="29"/>
      <c r="DF19" s="29"/>
      <c r="DH19" s="29"/>
      <c r="DJ19" s="29"/>
      <c r="DL19" s="29"/>
      <c r="DN19" s="29"/>
      <c r="DP19" s="29"/>
      <c r="DR19" s="29"/>
      <c r="DT19" s="29"/>
      <c r="DV19" s="29"/>
      <c r="DX19" s="29"/>
      <c r="DZ19" s="29"/>
      <c r="EB19" s="29"/>
      <c r="ED19" s="29"/>
      <c r="EF19" s="29"/>
      <c r="EH19" s="29"/>
      <c r="EJ19" s="29"/>
      <c r="EL19" s="29"/>
      <c r="EN19" s="29"/>
      <c r="EP19" s="29"/>
      <c r="ER19" s="29"/>
      <c r="ET19" s="29"/>
      <c r="EV19" s="29"/>
      <c r="EX19" s="29"/>
      <c r="EZ19" s="29"/>
      <c r="FB19" s="29"/>
      <c r="FD19" s="29"/>
      <c r="FF19" s="29"/>
      <c r="FH19" s="29"/>
      <c r="FJ19" s="29"/>
      <c r="FL19" s="29"/>
      <c r="FN19" s="29"/>
      <c r="FP19" s="29"/>
      <c r="FR19" s="29"/>
      <c r="FT19" s="29"/>
      <c r="FV19" s="29"/>
      <c r="FX19" s="29"/>
      <c r="FZ19" s="29"/>
      <c r="GB19" s="29"/>
      <c r="GD19" s="29"/>
      <c r="GF19" s="29"/>
      <c r="GH19" s="29"/>
      <c r="GJ19" s="29"/>
      <c r="GL19" s="29"/>
      <c r="GN19" s="29"/>
      <c r="GP19" s="29"/>
      <c r="GR19" s="29"/>
      <c r="GT19" s="29"/>
      <c r="GV19" s="29"/>
    </row>
    <row r="20" spans="2:204">
      <c r="B20" s="25" t="s">
        <v>170</v>
      </c>
      <c r="C20" s="25"/>
      <c r="D20" s="31"/>
      <c r="E20" s="25"/>
      <c r="F20" s="31"/>
      <c r="G20" s="25"/>
      <c r="H20" s="31"/>
      <c r="I20" s="25"/>
      <c r="J20" s="31">
        <f>SUM(J9:J18)</f>
        <v>-161671883.39457035</v>
      </c>
      <c r="K20" s="25"/>
      <c r="L20" s="31">
        <f>SUM(L9:L18)</f>
        <v>-517179058.59817386</v>
      </c>
      <c r="M20" s="25"/>
      <c r="N20" s="31">
        <f>SUM(N9:N18)</f>
        <v>-400327578.31866866</v>
      </c>
      <c r="O20" s="25"/>
      <c r="P20" s="31">
        <f>SUM(P9:P18)</f>
        <v>-297021995.94</v>
      </c>
      <c r="Q20" s="25"/>
      <c r="R20" s="31">
        <f>SUM(R9:R18)</f>
        <v>-225928964.30352595</v>
      </c>
      <c r="S20" s="25"/>
      <c r="T20" s="31">
        <f>SUM(T9:T18)</f>
        <v>-379009249.04909194</v>
      </c>
      <c r="U20" s="25"/>
      <c r="V20" s="31">
        <f>SUM(V9:V18)</f>
        <v>-266336605.5449509</v>
      </c>
      <c r="W20" s="25"/>
      <c r="X20" s="31">
        <f>SUM(X9:X18)</f>
        <v>-181667078.53964004</v>
      </c>
      <c r="Y20" s="25"/>
      <c r="Z20" s="31">
        <f>SUM(Z9:Z18)</f>
        <v>-119186217.75061126</v>
      </c>
      <c r="AA20" s="25"/>
      <c r="AB20" s="31">
        <f>SUM(AB9:AB18)</f>
        <v>-149243042.79367355</v>
      </c>
      <c r="AC20" s="25"/>
      <c r="AD20" s="31">
        <f>SUM(AD9:AD18)</f>
        <v>-96780714.73835668</v>
      </c>
      <c r="AE20" s="25"/>
      <c r="AF20" s="31">
        <f>SUM(AF9:AF18)</f>
        <v>-63203609.477904886</v>
      </c>
      <c r="AG20" s="25"/>
      <c r="AH20" s="31">
        <f>SUM(AH9:AH18)</f>
        <v>-33316087.397385232</v>
      </c>
      <c r="AI20" s="25"/>
      <c r="AJ20" s="31">
        <f>SUM(AJ9:AJ18)</f>
        <v>-117440272.34199999</v>
      </c>
      <c r="AK20" s="25"/>
      <c r="AL20" s="31">
        <f>SUM(AL9:AL18)</f>
        <v>-70194936.349060923</v>
      </c>
      <c r="AM20" s="25"/>
      <c r="AN20" s="31">
        <f>SUM(AN9:AN18)</f>
        <v>-53955160.886854917</v>
      </c>
      <c r="AO20" s="25"/>
      <c r="AP20" s="31">
        <f>SUM(AP9:AP18)</f>
        <v>-29752106.301913451</v>
      </c>
      <c r="AQ20" s="25"/>
      <c r="AR20" s="31">
        <f>SUM(AR9:AR18)</f>
        <v>-113354774.9858456</v>
      </c>
      <c r="AS20" s="25"/>
      <c r="AT20" s="31">
        <f>SUM(AT9:AT18)</f>
        <v>-88685980.013823107</v>
      </c>
      <c r="AU20" s="25"/>
      <c r="AV20" s="31">
        <f>SUM(AV9:AV18)</f>
        <v>-67899875.31108506</v>
      </c>
      <c r="AW20" s="25"/>
      <c r="AX20" s="31">
        <f>SUM(AX9:AX18)</f>
        <v>-34304687.81624002</v>
      </c>
      <c r="AY20" s="25"/>
      <c r="AZ20" s="31">
        <f>SUM(AZ9:AZ18)</f>
        <v>-122071538.54199998</v>
      </c>
      <c r="BA20" s="25"/>
      <c r="BB20" s="31">
        <f>SUM(BB9:BB18)</f>
        <v>-89012710.886499986</v>
      </c>
      <c r="BC20" s="25"/>
      <c r="BD20" s="31">
        <f>SUM(BD9:BD18)</f>
        <v>-72723426.365607068</v>
      </c>
      <c r="BE20" s="25"/>
      <c r="BF20" s="31">
        <f>SUM(BF9:BF18)</f>
        <v>-55510995.900107078</v>
      </c>
      <c r="BG20" s="25"/>
      <c r="BH20" s="31">
        <f>SUM(BH9:BH18)</f>
        <v>-93691970.058066666</v>
      </c>
      <c r="BI20" s="25"/>
      <c r="BJ20" s="31">
        <f>SUM(BJ9:BJ18)</f>
        <v>-66936501.565024994</v>
      </c>
      <c r="BK20" s="25"/>
      <c r="BL20" s="31">
        <f>SUM(BL9:BL18)</f>
        <v>-58452788.147500001</v>
      </c>
      <c r="BM20" s="25"/>
      <c r="BN20" s="31">
        <f>SUM(BN9:BN18)</f>
        <v>-57500156.949791662</v>
      </c>
      <c r="BO20" s="25"/>
      <c r="BP20" s="31">
        <f>SUM(BP9:BP18)</f>
        <v>-27513093.953916665</v>
      </c>
      <c r="BQ20" s="25"/>
      <c r="BR20" s="31">
        <f>SUM(BR9:BR18)</f>
        <v>-16652486.310000001</v>
      </c>
      <c r="BS20" s="25"/>
      <c r="BT20" s="31">
        <f>SUM(BT9:BT18)</f>
        <v>-7519389.6000000006</v>
      </c>
      <c r="BU20" s="25"/>
      <c r="BV20" s="31">
        <f>SUM(BV9:BV18)</f>
        <v>-47305060.450000003</v>
      </c>
      <c r="BW20" s="25"/>
      <c r="BX20" s="31">
        <f>SUM(BX9:BX18)</f>
        <v>-34230666.359999999</v>
      </c>
      <c r="BY20" s="25"/>
      <c r="BZ20" s="31">
        <f>SUM(BZ9:BZ18)</f>
        <v>-20127894.34</v>
      </c>
      <c r="CA20" s="25"/>
      <c r="CB20" s="31">
        <f>SUM(CB9:CB18)</f>
        <v>-7855134.6099999994</v>
      </c>
      <c r="CC20" s="25"/>
      <c r="CD20" s="31">
        <f>SUM(CD9:CD18)</f>
        <v>-84167641.019999996</v>
      </c>
      <c r="CE20" s="25"/>
      <c r="CF20" s="31">
        <f>SUM(CF9:CF18)</f>
        <v>-59240484.060000002</v>
      </c>
      <c r="CG20" s="25"/>
      <c r="CH20" s="31">
        <f>SUM(CH9:CH18)</f>
        <v>-20490737.350000001</v>
      </c>
      <c r="CI20" s="25"/>
      <c r="CJ20" s="31">
        <f>SUM(CJ9:CJ18)</f>
        <v>-10890773.469999999</v>
      </c>
      <c r="CK20" s="25"/>
      <c r="CL20" s="31">
        <f>SUM(CL9:CL18)</f>
        <v>-73293771</v>
      </c>
      <c r="CM20" s="25"/>
      <c r="CN20" s="31">
        <f>SUM(CN9:CN18)</f>
        <v>-45459942.060599305</v>
      </c>
      <c r="CO20" s="25"/>
      <c r="CP20" s="31">
        <f>SUM(CP9:CP18)</f>
        <v>-26077410.427066207</v>
      </c>
      <c r="CQ20" s="25"/>
      <c r="CR20" s="31">
        <f>SUM(CR9:CR18)</f>
        <v>-8562979.5335331019</v>
      </c>
      <c r="CS20" s="25"/>
      <c r="CT20" s="31">
        <f>SUM(CT9:CT18)</f>
        <v>-67028272.739481479</v>
      </c>
      <c r="CU20" s="25"/>
      <c r="CV20" s="31">
        <f>SUM(CV9:CV18)</f>
        <v>-41460693.022062123</v>
      </c>
      <c r="CW20" s="8"/>
      <c r="CX20" s="31">
        <f>SUM(CX9:CX18)</f>
        <v>-20715582.344708078</v>
      </c>
      <c r="CZ20" s="31">
        <f>SUM(CZ9:CZ18)</f>
        <v>-61552741.69583489</v>
      </c>
      <c r="DA20" s="25"/>
      <c r="DB20" s="31">
        <f>SUM(DB9:DB18)</f>
        <v>-45591780.650000006</v>
      </c>
      <c r="DC20" s="78"/>
      <c r="DD20" s="31"/>
      <c r="DF20" s="31"/>
      <c r="DH20" s="31"/>
      <c r="DJ20" s="31">
        <f>SUM(DJ9:DJ18)</f>
        <v>-161671883.39457035</v>
      </c>
      <c r="DL20" s="31">
        <f>SUM(DL9:DL18)</f>
        <v>-116851480.27950521</v>
      </c>
      <c r="DN20" s="31">
        <f>SUM(DN9:DN18)</f>
        <v>-103305582.37866867</v>
      </c>
      <c r="DP20" s="31">
        <f>SUM(DP9:DP18)</f>
        <v>-71093031.636474043</v>
      </c>
      <c r="DR20" s="31">
        <f>SUM(DR9:DR18)</f>
        <v>-225928964.30352595</v>
      </c>
      <c r="DT20" s="31">
        <f>SUM(DT9:DT18)</f>
        <v>-112672643.50414103</v>
      </c>
      <c r="DV20" s="31">
        <f>SUM(DV9:DV18)</f>
        <v>-84669527.005310833</v>
      </c>
      <c r="DX20" s="31">
        <f>SUM(DX9:DX18)</f>
        <v>-62480860.789028779</v>
      </c>
      <c r="DZ20" s="31">
        <f>SUM(DZ9:DZ18)</f>
        <v>-119186217.75061126</v>
      </c>
      <c r="EB20" s="31">
        <f>SUM(EB9:EB18)</f>
        <v>-52462328.055316888</v>
      </c>
      <c r="ED20" s="31">
        <f>SUM(ED9:ED18)</f>
        <v>-33577105.260451786</v>
      </c>
      <c r="EF20" s="31">
        <f>SUM(EF9:EF18)</f>
        <v>-29887522.080519658</v>
      </c>
      <c r="EH20" s="31">
        <f>SUM(EH9:EH18)</f>
        <v>-33316087.397385232</v>
      </c>
      <c r="EJ20" s="31">
        <f>SUM(EJ9:EJ18)</f>
        <v>-47245335.99293907</v>
      </c>
      <c r="EL20" s="31">
        <f>SUM(EL9:EL18)</f>
        <v>-16239775.462206002</v>
      </c>
      <c r="EN20" s="31">
        <f>SUM(EN9:EN18)</f>
        <v>-24203054.584941469</v>
      </c>
      <c r="EP20" s="31">
        <f>SUM(EP9:EP18)</f>
        <v>-29752106.301913451</v>
      </c>
      <c r="ER20" s="31">
        <f>SUM(ER9:ER18)</f>
        <v>-24668794.972022481</v>
      </c>
      <c r="ET20" s="31">
        <f>SUM(ET9:ET18)</f>
        <v>-20786104.702738047</v>
      </c>
      <c r="EV20" s="31">
        <f>SUM(EV9:EV18)</f>
        <v>-33595187.49484504</v>
      </c>
      <c r="EX20" s="31">
        <f>SUM(EX9:EX18)</f>
        <v>-34304687.81624002</v>
      </c>
      <c r="EZ20" s="31">
        <f>SUM(EZ9:EZ18)</f>
        <v>-33058827.655500006</v>
      </c>
      <c r="FB20" s="31">
        <f>SUM(FB9:FB18)</f>
        <v>-16289284.520892922</v>
      </c>
      <c r="FD20" s="31">
        <f>SUM(FD9:FD18)</f>
        <v>-17212430.465499986</v>
      </c>
      <c r="FF20" s="31">
        <f>SUM(FF9:FF18)</f>
        <v>-55510995.900107078</v>
      </c>
      <c r="FH20" s="31">
        <f>SUM(FH9:FH18)</f>
        <v>-24454558.57304167</v>
      </c>
      <c r="FJ20" s="31">
        <f>SUM(FJ9:FJ18)</f>
        <v>-8483713.4175249916</v>
      </c>
      <c r="FL20" s="31">
        <f>SUM(FL9:FL18)</f>
        <v>-952631.19770833757</v>
      </c>
      <c r="FN20" s="31">
        <f>SUM(FN9:FN18)</f>
        <v>-29987062.995875001</v>
      </c>
      <c r="FP20" s="31">
        <f>SUM(FP9:FP18)</f>
        <v>-10860607.643916668</v>
      </c>
      <c r="FR20" s="31">
        <f>SUM(FR9:FR18)</f>
        <v>-9133096.7100000009</v>
      </c>
      <c r="FT20" s="31">
        <f>SUM(FT9:FT18)</f>
        <v>-7519389.6000000006</v>
      </c>
      <c r="FV20" s="31">
        <f>SUM(FV9:FV18)</f>
        <v>-13074394.09</v>
      </c>
      <c r="FX20" s="31">
        <f>SUM(FX9:FX18)</f>
        <v>-14102772.02</v>
      </c>
      <c r="FZ20" s="31">
        <f>SUM(FZ9:FZ18)</f>
        <v>-12272759.73</v>
      </c>
      <c r="GB20" s="31">
        <f>SUM(GB9:GB18)</f>
        <v>-7855134.6099999994</v>
      </c>
      <c r="GD20" s="31">
        <f>SUM(GD9:GD18)</f>
        <v>-24927156.959999993</v>
      </c>
      <c r="GF20" s="31">
        <f>SUM(GF9:GF18)</f>
        <v>-38749746.710000001</v>
      </c>
      <c r="GH20" s="31">
        <f>SUM(GH9:GH18)</f>
        <v>-9599963.8800000027</v>
      </c>
      <c r="GJ20" s="31">
        <f>SUM(GJ9:GJ18)</f>
        <v>-10890773.469999999</v>
      </c>
      <c r="GL20" s="31">
        <f>SUM(GL9:GL18)</f>
        <v>-27833828.939400692</v>
      </c>
      <c r="GN20" s="31">
        <f>SUM(GN9:GN18)</f>
        <v>-19382531.633533105</v>
      </c>
      <c r="GP20" s="31">
        <f>SUM(GP9:GP18)</f>
        <v>-17514430.893533099</v>
      </c>
      <c r="GR20" s="31">
        <f>SUM(GR9:GR18)</f>
        <v>-8562979.5335331019</v>
      </c>
      <c r="GT20" s="31">
        <f>SUM(GT9:GT18)</f>
        <v>-25567579.717419356</v>
      </c>
      <c r="GV20" s="31">
        <f>SUM(GV9:GV18)</f>
        <v>-20745110.677354038</v>
      </c>
    </row>
    <row r="21" spans="2:204">
      <c r="B21" s="26"/>
      <c r="C21" s="26"/>
      <c r="D21" s="32"/>
      <c r="E21" s="26"/>
      <c r="F21" s="32"/>
      <c r="G21" s="26"/>
      <c r="H21" s="32"/>
      <c r="I21" s="26"/>
      <c r="J21" s="32"/>
      <c r="K21" s="26"/>
      <c r="L21" s="32"/>
      <c r="M21" s="26"/>
      <c r="N21" s="32"/>
      <c r="O21" s="26"/>
      <c r="P21" s="32"/>
      <c r="Q21" s="26"/>
      <c r="R21" s="32"/>
      <c r="S21" s="26"/>
      <c r="T21" s="32"/>
      <c r="U21" s="26"/>
      <c r="V21" s="32"/>
      <c r="W21" s="26"/>
      <c r="X21" s="32"/>
      <c r="Y21" s="26"/>
      <c r="Z21" s="32"/>
      <c r="AA21" s="26"/>
      <c r="AB21" s="32"/>
      <c r="AC21" s="26"/>
      <c r="AD21" s="32"/>
      <c r="AE21" s="26"/>
      <c r="AF21" s="32"/>
      <c r="AG21" s="26"/>
      <c r="AH21" s="32"/>
      <c r="AI21" s="26"/>
      <c r="AJ21" s="32"/>
      <c r="AK21" s="26"/>
      <c r="AL21" s="32"/>
      <c r="AM21" s="26"/>
      <c r="AN21" s="32"/>
      <c r="AO21" s="26"/>
      <c r="AP21" s="32"/>
      <c r="AQ21" s="26"/>
      <c r="AR21" s="32"/>
      <c r="AS21" s="26"/>
      <c r="AT21" s="32"/>
      <c r="AU21" s="26"/>
      <c r="AV21" s="32"/>
      <c r="AW21" s="26"/>
      <c r="AX21" s="32"/>
      <c r="AY21" s="26"/>
      <c r="AZ21" s="32"/>
      <c r="BA21" s="26"/>
      <c r="BB21" s="32"/>
      <c r="BC21" s="26"/>
      <c r="BD21" s="32"/>
      <c r="BE21" s="26"/>
      <c r="BF21" s="32"/>
      <c r="BG21" s="26"/>
      <c r="BH21" s="32"/>
      <c r="BI21" s="26"/>
      <c r="BJ21" s="32"/>
      <c r="BK21" s="26"/>
      <c r="BL21" s="32"/>
      <c r="BM21" s="26"/>
      <c r="BN21" s="32"/>
      <c r="BO21" s="26"/>
      <c r="BP21" s="32"/>
      <c r="BQ21" s="26"/>
      <c r="BR21" s="32"/>
      <c r="BS21" s="26"/>
      <c r="BT21" s="32"/>
      <c r="BU21" s="26"/>
      <c r="BV21" s="32"/>
      <c r="BW21" s="26"/>
      <c r="BX21" s="32"/>
      <c r="BY21" s="26"/>
      <c r="BZ21" s="32"/>
      <c r="CA21" s="26"/>
      <c r="CB21" s="32"/>
      <c r="CC21" s="26"/>
      <c r="CD21" s="32"/>
      <c r="CE21" s="26"/>
      <c r="CF21" s="32"/>
      <c r="CG21" s="26"/>
      <c r="CH21" s="32"/>
      <c r="CI21" s="26"/>
      <c r="CJ21" s="32"/>
      <c r="CK21" s="26"/>
      <c r="CL21" s="32"/>
      <c r="CM21" s="26"/>
      <c r="CN21" s="32"/>
      <c r="CO21" s="26"/>
      <c r="CP21" s="32"/>
      <c r="CQ21" s="26"/>
      <c r="CR21" s="32"/>
      <c r="CS21" s="26"/>
      <c r="CT21" s="32"/>
      <c r="CU21" s="26"/>
      <c r="CV21" s="32"/>
      <c r="CW21" s="33"/>
      <c r="CX21" s="32"/>
      <c r="CZ21" s="32"/>
      <c r="DA21" s="26"/>
      <c r="DB21" s="32"/>
      <c r="DC21" s="75"/>
      <c r="DD21" s="32"/>
      <c r="DF21" s="32"/>
      <c r="DH21" s="32"/>
      <c r="DJ21" s="32"/>
      <c r="DL21" s="32"/>
      <c r="DN21" s="32"/>
      <c r="DP21" s="32"/>
      <c r="DR21" s="32"/>
      <c r="DT21" s="32"/>
      <c r="DV21" s="32"/>
      <c r="DX21" s="32"/>
      <c r="DZ21" s="32"/>
      <c r="EB21" s="32"/>
      <c r="ED21" s="32"/>
      <c r="EF21" s="32"/>
      <c r="EH21" s="32"/>
      <c r="EJ21" s="32"/>
      <c r="EL21" s="32"/>
      <c r="EN21" s="32"/>
      <c r="EP21" s="32"/>
      <c r="ER21" s="32"/>
      <c r="ET21" s="32"/>
      <c r="EV21" s="32"/>
      <c r="EX21" s="32"/>
      <c r="EZ21" s="32"/>
      <c r="FB21" s="32"/>
      <c r="FD21" s="32"/>
      <c r="FF21" s="32"/>
      <c r="FH21" s="32"/>
      <c r="FJ21" s="32"/>
      <c r="FL21" s="32"/>
      <c r="FN21" s="32"/>
      <c r="FP21" s="32"/>
      <c r="FR21" s="32"/>
      <c r="FT21" s="32"/>
      <c r="FV21" s="32"/>
      <c r="FX21" s="32"/>
      <c r="FZ21" s="32"/>
      <c r="GB21" s="32"/>
      <c r="GD21" s="32"/>
      <c r="GF21" s="32"/>
      <c r="GH21" s="32"/>
      <c r="GJ21" s="32"/>
      <c r="GL21" s="32"/>
      <c r="GN21" s="32"/>
      <c r="GP21" s="32"/>
      <c r="GR21" s="32"/>
      <c r="GT21" s="32"/>
      <c r="GV21" s="32"/>
    </row>
    <row r="22" spans="2:204">
      <c r="B22" s="25" t="s">
        <v>65</v>
      </c>
      <c r="C22" s="25"/>
      <c r="D22" s="31"/>
      <c r="E22" s="25"/>
      <c r="F22" s="31"/>
      <c r="G22" s="25"/>
      <c r="H22" s="31"/>
      <c r="I22" s="25"/>
      <c r="J22" s="31">
        <f>J7+J20</f>
        <v>41456402.351433337</v>
      </c>
      <c r="K22" s="25"/>
      <c r="L22" s="31">
        <f>L7+L20</f>
        <v>106942734.8010962</v>
      </c>
      <c r="M22" s="25"/>
      <c r="N22" s="31">
        <f>N7+N20</f>
        <v>82649946.509653628</v>
      </c>
      <c r="O22" s="25"/>
      <c r="P22" s="31">
        <f>P7+P20</f>
        <v>61976770.360000014</v>
      </c>
      <c r="Q22" s="25"/>
      <c r="R22" s="31">
        <f>R7+R20</f>
        <v>45367158.07743302</v>
      </c>
      <c r="S22" s="25"/>
      <c r="T22" s="31">
        <f>T7+T20</f>
        <v>67862318.934050083</v>
      </c>
      <c r="U22" s="25"/>
      <c r="V22" s="31">
        <f>V7+V20</f>
        <v>44846730.726139367</v>
      </c>
      <c r="W22" s="25"/>
      <c r="X22" s="31">
        <f>X7+X20</f>
        <v>27810550.131915808</v>
      </c>
      <c r="Y22" s="25"/>
      <c r="Z22" s="31">
        <f>Z7+Z20</f>
        <v>24628002.933422074</v>
      </c>
      <c r="AA22" s="25"/>
      <c r="AB22" s="31">
        <f>AB7+AB20</f>
        <v>17617898.282898575</v>
      </c>
      <c r="AC22" s="25"/>
      <c r="AD22" s="31">
        <f>AD7+AD20</f>
        <v>11701668.307253003</v>
      </c>
      <c r="AE22" s="25"/>
      <c r="AF22" s="31">
        <f>AF7+AF20</f>
        <v>9514257.280372113</v>
      </c>
      <c r="AG22" s="25"/>
      <c r="AH22" s="31">
        <f>AH7+AH20</f>
        <v>2105218.8026147708</v>
      </c>
      <c r="AI22" s="25"/>
      <c r="AJ22" s="31">
        <f>AJ7+AJ20</f>
        <v>11187178.067999989</v>
      </c>
      <c r="AK22" s="25"/>
      <c r="AL22" s="31">
        <f>AL7+AL20</f>
        <v>6568769.1009390801</v>
      </c>
      <c r="AM22" s="25"/>
      <c r="AN22" s="31">
        <f>AN7+AN20</f>
        <v>7085916.4931450859</v>
      </c>
      <c r="AO22" s="25"/>
      <c r="AP22" s="31">
        <f>AP7+AP20</f>
        <v>4315499.0980865471</v>
      </c>
      <c r="AQ22" s="25"/>
      <c r="AR22" s="31">
        <f>AR7+AR20</f>
        <v>12031425.964154407</v>
      </c>
      <c r="AS22" s="25"/>
      <c r="AT22" s="31">
        <f>AT7+AT20</f>
        <v>8171284.3761768937</v>
      </c>
      <c r="AU22" s="25"/>
      <c r="AV22" s="31">
        <f>AV7+AV20</f>
        <v>6670864.268914938</v>
      </c>
      <c r="AW22" s="25"/>
      <c r="AX22" s="31">
        <f>AX7+AX20</f>
        <v>3285807.0437599793</v>
      </c>
      <c r="AY22" s="25"/>
      <c r="AZ22" s="31">
        <f>AZ7+AZ20</f>
        <v>12715084.678000018</v>
      </c>
      <c r="BA22" s="25"/>
      <c r="BB22" s="31">
        <f>BB7+BB20</f>
        <v>12245603.433500007</v>
      </c>
      <c r="BC22" s="25"/>
      <c r="BD22" s="31">
        <f>BD7+BD20</f>
        <v>12036994.104392931</v>
      </c>
      <c r="BE22" s="25"/>
      <c r="BF22" s="31">
        <f>BF7+BF20</f>
        <v>10441854.789892927</v>
      </c>
      <c r="BG22" s="25"/>
      <c r="BH22" s="31">
        <f>BH7+BH20</f>
        <v>11631168.59193331</v>
      </c>
      <c r="BI22" s="25"/>
      <c r="BJ22" s="31">
        <f>BJ7+BJ20</f>
        <v>14539561.474975012</v>
      </c>
      <c r="BK22" s="25"/>
      <c r="BL22" s="31">
        <f>BL7+BL20</f>
        <v>12885769.232499994</v>
      </c>
      <c r="BM22" s="25"/>
      <c r="BN22" s="31">
        <f>BN7+BN20</f>
        <v>5436328.960208334</v>
      </c>
      <c r="BO22" s="25"/>
      <c r="BP22" s="31">
        <f>BP7+BP20</f>
        <v>1392350.326083336</v>
      </c>
      <c r="BQ22" s="25"/>
      <c r="BR22" s="31">
        <f>BR7+BR20</f>
        <v>737874.02999999933</v>
      </c>
      <c r="BS22" s="25"/>
      <c r="BT22" s="31">
        <f>BT7+BT20</f>
        <v>240980.01999999862</v>
      </c>
      <c r="BU22" s="25"/>
      <c r="BV22" s="31">
        <f>BV7+BV20</f>
        <v>2128075.9199999943</v>
      </c>
      <c r="BW22" s="25"/>
      <c r="BX22" s="31">
        <f>BX7+BX20</f>
        <v>1004643.5399999991</v>
      </c>
      <c r="BY22" s="25"/>
      <c r="BZ22" s="31">
        <f>BZ7+BZ20</f>
        <v>385081.12000000104</v>
      </c>
      <c r="CA22" s="25"/>
      <c r="CB22" s="31">
        <f>CB7+CB20</f>
        <v>35875.13000000082</v>
      </c>
      <c r="CC22" s="25"/>
      <c r="CD22" s="31">
        <f>CD7+CD20</f>
        <v>-569223.77999998629</v>
      </c>
      <c r="CE22" s="25"/>
      <c r="CF22" s="31">
        <f>CF7+CF20</f>
        <v>-1254405.7300000042</v>
      </c>
      <c r="CG22" s="25"/>
      <c r="CH22" s="31">
        <f>CH7+CH20</f>
        <v>-3440985.370000001</v>
      </c>
      <c r="CI22" s="25"/>
      <c r="CJ22" s="31">
        <f>CJ7+CJ20</f>
        <v>-814054.45999999717</v>
      </c>
      <c r="CK22" s="25"/>
      <c r="CL22" s="31">
        <f>CL7+CL20</f>
        <v>4757444.5699999928</v>
      </c>
      <c r="CM22" s="25"/>
      <c r="CN22" s="31">
        <f>CN7+CN20</f>
        <v>2652167.7694006935</v>
      </c>
      <c r="CO22" s="25"/>
      <c r="CP22" s="31">
        <f>CP7+CP20</f>
        <v>1381278.3029337935</v>
      </c>
      <c r="CQ22" s="25"/>
      <c r="CR22" s="31">
        <f>CR7+CR20</f>
        <v>272400.0364668984</v>
      </c>
      <c r="CS22" s="25"/>
      <c r="CT22" s="31">
        <f>CT7+CT20</f>
        <v>10347554.888227701</v>
      </c>
      <c r="CU22" s="25"/>
      <c r="CV22" s="31">
        <f>CV7+CV20</f>
        <v>4910359.6379378736</v>
      </c>
      <c r="CW22" s="25"/>
      <c r="CX22" s="31">
        <f>CX7+CX20</f>
        <v>1523622.1352919191</v>
      </c>
      <c r="CZ22" s="31">
        <f>CZ7+CZ20</f>
        <v>-101228.8658348918</v>
      </c>
      <c r="DA22" s="25"/>
      <c r="DB22" s="31">
        <f>DB7+DB20</f>
        <v>-514598.32000000775</v>
      </c>
      <c r="DC22" s="78"/>
      <c r="DD22" s="31"/>
      <c r="DF22" s="31"/>
      <c r="DH22" s="31"/>
      <c r="DJ22" s="31">
        <f>DJ7+DJ20</f>
        <v>41456402.351433337</v>
      </c>
      <c r="DL22" s="31">
        <f>DL7+DL20</f>
        <v>24292788.291442588</v>
      </c>
      <c r="DN22" s="31">
        <f>DN7+DN20</f>
        <v>20673176.149653643</v>
      </c>
      <c r="DP22" s="31">
        <f>DP7+DP20</f>
        <v>16609612.28256698</v>
      </c>
      <c r="DR22" s="31">
        <f>DR7+DR20</f>
        <v>45367158.07743302</v>
      </c>
      <c r="DT22" s="31">
        <f>DT7+DT20</f>
        <v>23015588.207910717</v>
      </c>
      <c r="DV22" s="31">
        <f>DV7+DV20</f>
        <v>17036180.594223559</v>
      </c>
      <c r="DX22" s="31">
        <f>DX7+DX20</f>
        <v>3182547.1984937415</v>
      </c>
      <c r="DZ22" s="31">
        <f>DZ7+DZ20</f>
        <v>24628002.933422074</v>
      </c>
      <c r="EB22" s="31">
        <f>EB7+EB20</f>
        <v>5916229.9756455496</v>
      </c>
      <c r="ED22" s="31">
        <f>ED7+ED20</f>
        <v>2187411.026880905</v>
      </c>
      <c r="EF22" s="31">
        <f>EF7+EF20</f>
        <v>7409038.4777573384</v>
      </c>
      <c r="EH22" s="31">
        <f>EH7+EH20</f>
        <v>2105218.8026147708</v>
      </c>
      <c r="EJ22" s="31">
        <f>EJ7+EJ20</f>
        <v>4618408.9670609087</v>
      </c>
      <c r="EL22" s="31">
        <f>EL7+EL20</f>
        <v>-517147.39220600575</v>
      </c>
      <c r="EN22" s="31">
        <f>EN7+EN20</f>
        <v>2770417.395058535</v>
      </c>
      <c r="EP22" s="31">
        <f>EP7+EP20</f>
        <v>4315499.0980865471</v>
      </c>
      <c r="ER22" s="31">
        <f>ER7+ER20</f>
        <v>3860141.5879775174</v>
      </c>
      <c r="ET22" s="31">
        <f>ET7+ET20</f>
        <v>1500420.1072619483</v>
      </c>
      <c r="EV22" s="31">
        <f>EV7+EV20</f>
        <v>3385057.2251549661</v>
      </c>
      <c r="EX22" s="31">
        <f>EX7+EX20</f>
        <v>3285807.0437599793</v>
      </c>
      <c r="EZ22" s="31">
        <f>EZ7+EZ20</f>
        <v>469481.24449999258</v>
      </c>
      <c r="FB22" s="31">
        <f>FB7+FB20</f>
        <v>208609.32910707407</v>
      </c>
      <c r="FD22" s="31">
        <f>FD7+FD20</f>
        <v>1595139.3145000152</v>
      </c>
      <c r="FF22" s="31">
        <f>FF7+FF20</f>
        <v>10441854.789892927</v>
      </c>
      <c r="FH22" s="31">
        <f>FH7+FH20</f>
        <v>-607482.96304169297</v>
      </c>
      <c r="FJ22" s="31">
        <f>FJ7+FJ20</f>
        <v>1653792.2424750272</v>
      </c>
      <c r="FL22" s="31">
        <f>FL7+FL20</f>
        <v>7449440.2722916538</v>
      </c>
      <c r="FN22" s="31">
        <f>FN7+FN20</f>
        <v>4043978.6341249943</v>
      </c>
      <c r="FP22" s="31">
        <f>FP7+FP20</f>
        <v>654476.29608333297</v>
      </c>
      <c r="FR22" s="31">
        <f>FR7+FR20</f>
        <v>496894.00999999791</v>
      </c>
      <c r="FT22" s="31">
        <f>FT7+FT20</f>
        <v>240980.01999999862</v>
      </c>
      <c r="FV22" s="31">
        <f>FV7+FV20</f>
        <v>1123432.3799999971</v>
      </c>
      <c r="FX22" s="31">
        <f>FX7+FX20</f>
        <v>619562.41999999806</v>
      </c>
      <c r="FZ22" s="31">
        <f>FZ7+FZ20</f>
        <v>349205.99000000209</v>
      </c>
      <c r="GB22" s="31">
        <f>GB7+GB20</f>
        <v>35875.13000000082</v>
      </c>
      <c r="GD22" s="31">
        <f>GD7+GD20</f>
        <v>685181.95000001043</v>
      </c>
      <c r="GF22" s="31">
        <f>GF7+GF20</f>
        <v>2186579.6399999931</v>
      </c>
      <c r="GH22" s="31">
        <f>GH7+GH20</f>
        <v>-2626930.9100000029</v>
      </c>
      <c r="GJ22" s="31">
        <f>GJ7+GJ20</f>
        <v>-814054.45999999717</v>
      </c>
      <c r="GL22" s="31">
        <f>GL7+GL20</f>
        <v>2105276.8005993068</v>
      </c>
      <c r="GN22" s="31">
        <f>GN7+GN20</f>
        <v>1270889.4664668925</v>
      </c>
      <c r="GP22" s="31">
        <f>GP7+GP20</f>
        <v>1108878.2664669007</v>
      </c>
      <c r="GR22" s="31">
        <f>GR7+GR20</f>
        <v>272400.0364668984</v>
      </c>
      <c r="GT22" s="31">
        <f>GT7+GT20</f>
        <v>5437195.2502898239</v>
      </c>
      <c r="GV22" s="31">
        <f>GV7+GV20</f>
        <v>3386737.5026459619</v>
      </c>
    </row>
    <row r="23" spans="2:204">
      <c r="B23" s="26"/>
      <c r="C23" s="26"/>
      <c r="D23" s="32"/>
      <c r="E23" s="26"/>
      <c r="F23" s="32"/>
      <c r="G23" s="26"/>
      <c r="H23" s="32"/>
      <c r="I23" s="26"/>
      <c r="J23" s="32"/>
      <c r="K23" s="26"/>
      <c r="L23" s="32"/>
      <c r="M23" s="26"/>
      <c r="N23" s="32"/>
      <c r="O23" s="26"/>
      <c r="P23" s="32"/>
      <c r="Q23" s="26"/>
      <c r="R23" s="32"/>
      <c r="S23" s="26"/>
      <c r="T23" s="32"/>
      <c r="U23" s="26"/>
      <c r="V23" s="32"/>
      <c r="W23" s="26"/>
      <c r="X23" s="32"/>
      <c r="Y23" s="26"/>
      <c r="Z23" s="32"/>
      <c r="AA23" s="26"/>
      <c r="AB23" s="32"/>
      <c r="AC23" s="26"/>
      <c r="AD23" s="32"/>
      <c r="AE23" s="26"/>
      <c r="AF23" s="32"/>
      <c r="AG23" s="26"/>
      <c r="AH23" s="32"/>
      <c r="AI23" s="26"/>
      <c r="AJ23" s="32"/>
      <c r="AK23" s="26"/>
      <c r="AL23" s="32"/>
      <c r="AM23" s="26"/>
      <c r="AN23" s="32"/>
      <c r="AO23" s="26"/>
      <c r="AP23" s="32"/>
      <c r="AQ23" s="26"/>
      <c r="AR23" s="32"/>
      <c r="AS23" s="26"/>
      <c r="AT23" s="32"/>
      <c r="AU23" s="26"/>
      <c r="AV23" s="32"/>
      <c r="AW23" s="26"/>
      <c r="AX23" s="32"/>
      <c r="AY23" s="26"/>
      <c r="AZ23" s="32"/>
      <c r="BA23" s="26"/>
      <c r="BB23" s="32"/>
      <c r="BC23" s="26"/>
      <c r="BD23" s="32"/>
      <c r="BE23" s="26"/>
      <c r="BF23" s="32"/>
      <c r="BG23" s="26"/>
      <c r="BH23" s="32"/>
      <c r="BI23" s="26"/>
      <c r="BJ23" s="32"/>
      <c r="BK23" s="26"/>
      <c r="BL23" s="32"/>
      <c r="BM23" s="26"/>
      <c r="BN23" s="32"/>
      <c r="BO23" s="26"/>
      <c r="BP23" s="32"/>
      <c r="BQ23" s="26"/>
      <c r="BR23" s="32"/>
      <c r="BS23" s="26"/>
      <c r="BT23" s="32"/>
      <c r="BU23" s="26"/>
      <c r="BV23" s="32"/>
      <c r="BW23" s="26"/>
      <c r="BX23" s="32"/>
      <c r="BY23" s="26"/>
      <c r="BZ23" s="32"/>
      <c r="CA23" s="26"/>
      <c r="CB23" s="32"/>
      <c r="CC23" s="26"/>
      <c r="CD23" s="32"/>
      <c r="CE23" s="26"/>
      <c r="CF23" s="32"/>
      <c r="CG23" s="26"/>
      <c r="CH23" s="32"/>
      <c r="CI23" s="26"/>
      <c r="CJ23" s="32"/>
      <c r="CK23" s="26"/>
      <c r="CL23" s="32"/>
      <c r="CM23" s="26"/>
      <c r="CN23" s="32"/>
      <c r="CO23" s="26"/>
      <c r="CP23" s="32"/>
      <c r="CQ23" s="26"/>
      <c r="CR23" s="32"/>
      <c r="CS23" s="26"/>
      <c r="CT23" s="32"/>
      <c r="CU23" s="26"/>
      <c r="CV23" s="32"/>
      <c r="CW23" s="25"/>
      <c r="CX23" s="32"/>
      <c r="CZ23" s="32"/>
      <c r="DA23" s="26"/>
      <c r="DB23" s="32"/>
      <c r="DC23" s="75"/>
      <c r="DD23" s="32"/>
      <c r="DF23" s="32"/>
      <c r="DH23" s="32"/>
      <c r="DJ23" s="32"/>
      <c r="DL23" s="32"/>
      <c r="DN23" s="32"/>
      <c r="DP23" s="32"/>
      <c r="DR23" s="32"/>
      <c r="DT23" s="32"/>
      <c r="DV23" s="32"/>
      <c r="DX23" s="32"/>
      <c r="DZ23" s="32"/>
      <c r="EB23" s="32"/>
      <c r="ED23" s="32"/>
      <c r="EF23" s="32"/>
      <c r="EH23" s="32"/>
      <c r="EJ23" s="32"/>
      <c r="EL23" s="32"/>
      <c r="EN23" s="32"/>
      <c r="EP23" s="32"/>
      <c r="ER23" s="32"/>
      <c r="ET23" s="32"/>
      <c r="EV23" s="32"/>
      <c r="EX23" s="32"/>
      <c r="EZ23" s="32"/>
      <c r="FB23" s="32"/>
      <c r="FD23" s="32"/>
      <c r="FF23" s="32"/>
      <c r="FH23" s="32"/>
      <c r="FJ23" s="32"/>
      <c r="FL23" s="32"/>
      <c r="FN23" s="32"/>
      <c r="FP23" s="32"/>
      <c r="FR23" s="32"/>
      <c r="FT23" s="32"/>
      <c r="FV23" s="32"/>
      <c r="FX23" s="32"/>
      <c r="FZ23" s="32"/>
      <c r="GB23" s="32"/>
      <c r="GD23" s="32"/>
      <c r="GF23" s="32"/>
      <c r="GH23" s="32"/>
      <c r="GJ23" s="32"/>
      <c r="GL23" s="32"/>
      <c r="GN23" s="32"/>
      <c r="GP23" s="32"/>
      <c r="GR23" s="32"/>
      <c r="GT23" s="32"/>
      <c r="GV23" s="32"/>
    </row>
    <row r="24" spans="2:204">
      <c r="B24" s="26" t="s">
        <v>66</v>
      </c>
      <c r="C24" s="26"/>
      <c r="D24" s="29"/>
      <c r="E24" s="26"/>
      <c r="F24" s="29"/>
      <c r="G24" s="26"/>
      <c r="H24" s="29"/>
      <c r="I24" s="26"/>
      <c r="J24" s="29">
        <v>36827.988257999998</v>
      </c>
      <c r="K24" s="26"/>
      <c r="L24" s="29">
        <v>146003.50173166487</v>
      </c>
      <c r="M24" s="26"/>
      <c r="N24" s="29">
        <v>109410.83999999892</v>
      </c>
      <c r="O24" s="26"/>
      <c r="P24" s="29">
        <v>73454.62</v>
      </c>
      <c r="Q24" s="26"/>
      <c r="R24" s="29">
        <v>1007221.4516824796</v>
      </c>
      <c r="S24" s="26"/>
      <c r="T24" s="29">
        <v>1149789.7847952736</v>
      </c>
      <c r="U24" s="26"/>
      <c r="V24" s="29">
        <v>7968145.0536723323</v>
      </c>
      <c r="W24" s="26"/>
      <c r="X24" s="29">
        <v>4374238.2805709997</v>
      </c>
      <c r="Y24" s="26"/>
      <c r="Z24" s="29">
        <v>1358513.4760999999</v>
      </c>
      <c r="AA24" s="26"/>
      <c r="AB24" s="29">
        <v>1328409.5108658331</v>
      </c>
      <c r="AC24" s="26"/>
      <c r="AD24" s="29">
        <v>384725.42331383331</v>
      </c>
      <c r="AE24" s="26"/>
      <c r="AF24" s="29">
        <v>159789.71681849993</v>
      </c>
      <c r="AG24" s="26"/>
      <c r="AH24" s="29">
        <v>256859.88000000006</v>
      </c>
      <c r="AI24" s="26"/>
      <c r="AJ24" s="29">
        <v>123116.97999999998</v>
      </c>
      <c r="AK24" s="26"/>
      <c r="AL24" s="29">
        <v>357548.47</v>
      </c>
      <c r="AM24" s="26"/>
      <c r="AN24" s="29">
        <v>241304.11000000002</v>
      </c>
      <c r="AO24" s="26"/>
      <c r="AP24" s="29">
        <v>309045.71999999997</v>
      </c>
      <c r="AQ24" s="26"/>
      <c r="AR24" s="29">
        <v>398183.92000000004</v>
      </c>
      <c r="AS24" s="26"/>
      <c r="AT24" s="29">
        <v>353746.33</v>
      </c>
      <c r="AU24" s="26"/>
      <c r="AV24" s="29">
        <v>309495.67999999999</v>
      </c>
      <c r="AW24" s="26"/>
      <c r="AX24" s="29">
        <v>260281.58</v>
      </c>
      <c r="AY24" s="26"/>
      <c r="AZ24" s="29">
        <v>102242.93000000002</v>
      </c>
      <c r="BA24" s="26"/>
      <c r="BB24" s="29">
        <v>129964.27999999997</v>
      </c>
      <c r="BC24" s="26"/>
      <c r="BD24" s="29">
        <v>99680.94</v>
      </c>
      <c r="BE24" s="26"/>
      <c r="BF24" s="29">
        <v>5906.9499999999971</v>
      </c>
      <c r="BG24" s="26"/>
      <c r="BH24" s="29">
        <v>6225.0000000000146</v>
      </c>
      <c r="BI24" s="26"/>
      <c r="BJ24" s="29">
        <v>133169.38</v>
      </c>
      <c r="BK24" s="26"/>
      <c r="BL24" s="29">
        <v>110730.59000000005</v>
      </c>
      <c r="BM24" s="26"/>
      <c r="BN24" s="29">
        <v>20626.82999999998</v>
      </c>
      <c r="BO24" s="26"/>
      <c r="BP24" s="29">
        <v>1949.6799999999912</v>
      </c>
      <c r="BQ24" s="26"/>
      <c r="BR24" s="29">
        <v>1907.0799999999981</v>
      </c>
      <c r="BS24" s="26"/>
      <c r="BT24" s="29">
        <v>1868.6100000000006</v>
      </c>
      <c r="BU24" s="26"/>
      <c r="BV24" s="29">
        <v>152658.16</v>
      </c>
      <c r="BW24" s="26"/>
      <c r="BX24" s="29">
        <v>100601.56</v>
      </c>
      <c r="BY24" s="26"/>
      <c r="BZ24" s="29">
        <v>193694.95</v>
      </c>
      <c r="CA24" s="26"/>
      <c r="CB24" s="29">
        <v>11462.66</v>
      </c>
      <c r="CC24" s="26"/>
      <c r="CD24" s="29">
        <v>94633.95</v>
      </c>
      <c r="CE24" s="26"/>
      <c r="CF24" s="29">
        <v>49112.97</v>
      </c>
      <c r="CG24" s="26"/>
      <c r="CH24" s="29">
        <v>47581.66</v>
      </c>
      <c r="CI24" s="26"/>
      <c r="CJ24" s="29">
        <v>42992.340000000004</v>
      </c>
      <c r="CK24" s="26"/>
      <c r="CL24" s="29">
        <v>324177.10000000003</v>
      </c>
      <c r="CM24" s="26"/>
      <c r="CN24" s="29">
        <v>247100.66</v>
      </c>
      <c r="CO24" s="26"/>
      <c r="CP24" s="29">
        <v>181432.27</v>
      </c>
      <c r="CQ24" s="26"/>
      <c r="CR24" s="29">
        <v>119524.06999999999</v>
      </c>
      <c r="CS24" s="26"/>
      <c r="CT24" s="29">
        <v>138764.51</v>
      </c>
      <c r="CU24" s="26"/>
      <c r="CV24" s="29">
        <v>168347.40000000002</v>
      </c>
      <c r="CW24" s="8"/>
      <c r="CX24" s="29">
        <v>129145.39000000001</v>
      </c>
      <c r="CZ24" s="29">
        <v>303758.15000000002</v>
      </c>
      <c r="DA24" s="26"/>
      <c r="DB24" s="29">
        <v>378090.23</v>
      </c>
      <c r="DC24" s="75"/>
      <c r="DD24" s="29"/>
      <c r="DF24" s="29"/>
      <c r="DH24" s="29"/>
      <c r="DJ24" s="29">
        <f t="shared" ref="DJ24:DJ27" si="38">J24</f>
        <v>36827.988257999998</v>
      </c>
      <c r="DL24" s="29">
        <f t="shared" ref="DL24:DP27" si="39">L24-N24</f>
        <v>36592.661731665954</v>
      </c>
      <c r="DN24" s="29">
        <f t="shared" si="39"/>
        <v>35956.219999998924</v>
      </c>
      <c r="DP24" s="29">
        <f t="shared" si="39"/>
        <v>-933766.83168247959</v>
      </c>
      <c r="DR24" s="29">
        <f t="shared" ref="DR24:DR27" si="40">R24</f>
        <v>1007221.4516824796</v>
      </c>
      <c r="DT24" s="29">
        <f t="shared" ref="DT24:DX27" si="41">T24-V24</f>
        <v>-6818355.2688770592</v>
      </c>
      <c r="DV24" s="29">
        <f t="shared" si="41"/>
        <v>3593906.7731013326</v>
      </c>
      <c r="DX24" s="29">
        <f t="shared" si="41"/>
        <v>3015724.8044710001</v>
      </c>
      <c r="DZ24" s="29">
        <f t="shared" ref="DZ24:DZ27" si="42">Z24</f>
        <v>1358513.4760999999</v>
      </c>
      <c r="EB24" s="29">
        <f t="shared" ref="EB24:EF27" si="43">AB24-AD24</f>
        <v>943684.08755199984</v>
      </c>
      <c r="ED24" s="29">
        <f t="shared" si="43"/>
        <v>224935.70649533338</v>
      </c>
      <c r="EF24" s="29">
        <f t="shared" si="43"/>
        <v>-97070.163181500131</v>
      </c>
      <c r="EH24" s="29">
        <f t="shared" ref="EH24:EH27" si="44">AH24</f>
        <v>256859.88000000006</v>
      </c>
      <c r="EJ24" s="29">
        <f t="shared" ref="EJ24:EL27" si="45">AJ24-AL24</f>
        <v>-234431.49</v>
      </c>
      <c r="EL24" s="29">
        <f t="shared" si="45"/>
        <v>116244.35999999996</v>
      </c>
      <c r="EN24" s="29">
        <f t="shared" ref="EN24:EN27" si="46">AN24-AP24</f>
        <v>-67741.609999999957</v>
      </c>
      <c r="EP24" s="29">
        <f t="shared" ref="EP24:EP27" si="47">AP24</f>
        <v>309045.71999999997</v>
      </c>
      <c r="ER24" s="29">
        <f>AR24-AT24</f>
        <v>44437.590000000026</v>
      </c>
      <c r="ET24" s="29">
        <f>AT24-AV24</f>
        <v>44250.650000000023</v>
      </c>
      <c r="EV24" s="29">
        <f>AV24-AX24</f>
        <v>49214.100000000006</v>
      </c>
      <c r="EX24" s="29">
        <f>AX24</f>
        <v>260281.58</v>
      </c>
      <c r="EZ24" s="29">
        <f>AZ24-BB24</f>
        <v>-27721.349999999948</v>
      </c>
      <c r="FB24" s="29">
        <f>BB24-BD24</f>
        <v>30283.339999999967</v>
      </c>
      <c r="FD24" s="29">
        <f>BD24-BF24</f>
        <v>93773.99</v>
      </c>
      <c r="FF24" s="29">
        <f>BF24</f>
        <v>5906.9499999999971</v>
      </c>
      <c r="FH24" s="29">
        <v>-126944.38</v>
      </c>
      <c r="FJ24" s="29">
        <f>BJ24-BL24</f>
        <v>22438.78999999995</v>
      </c>
      <c r="FL24" s="29">
        <f>BL24-BN24</f>
        <v>90103.760000000068</v>
      </c>
      <c r="FN24" s="29">
        <f>BN24-BP24</f>
        <v>18677.149999999987</v>
      </c>
      <c r="FP24" s="29">
        <f>BP24-BR24</f>
        <v>42.599999999993088</v>
      </c>
      <c r="FR24" s="29">
        <f>BR24-BT24</f>
        <v>38.469999999997526</v>
      </c>
      <c r="FT24" s="29">
        <f>BT24</f>
        <v>1868.6100000000006</v>
      </c>
      <c r="FV24" s="29">
        <f>BV24-BX24</f>
        <v>52056.600000000006</v>
      </c>
      <c r="FX24" s="29">
        <f>BX24-BZ24</f>
        <v>-93093.390000000014</v>
      </c>
      <c r="FZ24" s="29">
        <f>BZ24-CB24</f>
        <v>182232.29</v>
      </c>
      <c r="GB24" s="29">
        <f>CB24</f>
        <v>11462.66</v>
      </c>
      <c r="GD24" s="29">
        <f>CD24-CF24</f>
        <v>45520.979999999996</v>
      </c>
      <c r="GF24" s="29">
        <f>CF24-CH24</f>
        <v>1531.3099999999977</v>
      </c>
      <c r="GH24" s="29">
        <f>CH24-CJ24</f>
        <v>4589.32</v>
      </c>
      <c r="GJ24" s="29">
        <f>CJ24</f>
        <v>42992.340000000004</v>
      </c>
      <c r="GL24" s="29">
        <f>CL24-CN24</f>
        <v>77076.440000000031</v>
      </c>
      <c r="GN24" s="29">
        <f>CN24-CP24</f>
        <v>65668.390000000014</v>
      </c>
      <c r="GP24" s="29">
        <f>CP24-CR24</f>
        <v>61908.2</v>
      </c>
      <c r="GR24" s="29">
        <f>CR24</f>
        <v>119524.06999999999</v>
      </c>
      <c r="GT24" s="29">
        <f>CT24-CV24</f>
        <v>-29582.890000000014</v>
      </c>
      <c r="GV24" s="29">
        <f>CV24-CX24</f>
        <v>39202.010000000009</v>
      </c>
    </row>
    <row r="25" spans="2:204">
      <c r="B25" s="26" t="s">
        <v>67</v>
      </c>
      <c r="C25" s="26"/>
      <c r="D25" s="29"/>
      <c r="E25" s="26"/>
      <c r="F25" s="29"/>
      <c r="G25" s="26"/>
      <c r="H25" s="29"/>
      <c r="I25" s="26"/>
      <c r="J25" s="29">
        <v>-768151.61472758697</v>
      </c>
      <c r="K25" s="26"/>
      <c r="L25" s="29">
        <v>-3899021.5688880216</v>
      </c>
      <c r="M25" s="26"/>
      <c r="N25" s="29">
        <v>-3745679.7776937969</v>
      </c>
      <c r="O25" s="26"/>
      <c r="P25" s="29">
        <v>-3503655.74</v>
      </c>
      <c r="Q25" s="26"/>
      <c r="R25" s="29">
        <v>-2900023.756601064</v>
      </c>
      <c r="S25" s="26"/>
      <c r="T25" s="29">
        <v>-2409153.5615529791</v>
      </c>
      <c r="U25" s="26"/>
      <c r="V25" s="29">
        <v>-5614674.8469062066</v>
      </c>
      <c r="W25" s="26"/>
      <c r="X25" s="29">
        <v>-2457809.1083738185</v>
      </c>
      <c r="Y25" s="26"/>
      <c r="Z25" s="29">
        <v>-1085915.1461226665</v>
      </c>
      <c r="AA25" s="26"/>
      <c r="AB25" s="29">
        <v>-5168758.869048533</v>
      </c>
      <c r="AC25" s="26"/>
      <c r="AD25" s="29">
        <v>-2010965.0929344031</v>
      </c>
      <c r="AE25" s="26"/>
      <c r="AF25" s="29">
        <v>-479156.65039145725</v>
      </c>
      <c r="AG25" s="26"/>
      <c r="AH25" s="29">
        <v>-143253.87441389362</v>
      </c>
      <c r="AI25" s="26"/>
      <c r="AJ25" s="29">
        <v>-982368.24999999988</v>
      </c>
      <c r="AK25" s="26"/>
      <c r="AL25" s="29">
        <v>-367061.14403292042</v>
      </c>
      <c r="AM25" s="26"/>
      <c r="AN25" s="29">
        <v>-243919.46933394831</v>
      </c>
      <c r="AO25" s="26"/>
      <c r="AP25" s="29">
        <v>-130993.30278638718</v>
      </c>
      <c r="AQ25" s="26"/>
      <c r="AR25" s="29">
        <v>-1020571.458486428</v>
      </c>
      <c r="AS25" s="26"/>
      <c r="AT25" s="29">
        <v>-633162.03861326713</v>
      </c>
      <c r="AU25" s="26"/>
      <c r="AV25" s="29">
        <v>-582032.82355958503</v>
      </c>
      <c r="AW25" s="26"/>
      <c r="AX25" s="29">
        <v>-254579.98941649334</v>
      </c>
      <c r="AY25" s="26"/>
      <c r="AZ25" s="29">
        <v>-952552.50999999989</v>
      </c>
      <c r="BA25" s="26"/>
      <c r="BB25" s="29">
        <v>-561347.8899999999</v>
      </c>
      <c r="BC25" s="26"/>
      <c r="BD25" s="29">
        <v>-386237.98</v>
      </c>
      <c r="BE25" s="26"/>
      <c r="BF25" s="29">
        <v>-181778.63999999996</v>
      </c>
      <c r="BG25" s="26"/>
      <c r="BH25" s="29">
        <v>-761939.58000000007</v>
      </c>
      <c r="BI25" s="26"/>
      <c r="BJ25" s="29">
        <v>-611079.1399999999</v>
      </c>
      <c r="BK25" s="26"/>
      <c r="BL25" s="29">
        <v>-328104.93</v>
      </c>
      <c r="BM25" s="26"/>
      <c r="BN25" s="29">
        <v>-283326.89999999997</v>
      </c>
      <c r="BO25" s="26"/>
      <c r="BP25" s="29">
        <v>-232970.35000000006</v>
      </c>
      <c r="BQ25" s="26"/>
      <c r="BR25" s="29">
        <v>-134461.25</v>
      </c>
      <c r="BS25" s="26"/>
      <c r="BT25" s="29">
        <v>-80557.56</v>
      </c>
      <c r="BU25" s="26"/>
      <c r="BV25" s="29">
        <v>-325569.01</v>
      </c>
      <c r="BW25" s="26"/>
      <c r="BX25" s="29">
        <v>-272502.13</v>
      </c>
      <c r="BY25" s="26"/>
      <c r="BZ25" s="29">
        <v>-185370.56</v>
      </c>
      <c r="CA25" s="26"/>
      <c r="CB25" s="29">
        <v>-146707.12</v>
      </c>
      <c r="CC25" s="26"/>
      <c r="CD25" s="29">
        <v>-705161.02</v>
      </c>
      <c r="CE25" s="26"/>
      <c r="CF25" s="29">
        <v>-567963.73</v>
      </c>
      <c r="CG25" s="26"/>
      <c r="CH25" s="29">
        <v>-420906.1</v>
      </c>
      <c r="CI25" s="26"/>
      <c r="CJ25" s="29">
        <v>-254935.31999999998</v>
      </c>
      <c r="CK25" s="26"/>
      <c r="CL25" s="29">
        <v>-891301.18</v>
      </c>
      <c r="CM25" s="26"/>
      <c r="CN25" s="29">
        <v>-725070.5309483154</v>
      </c>
      <c r="CO25" s="26"/>
      <c r="CP25" s="29">
        <v>-498158.77990539017</v>
      </c>
      <c r="CQ25" s="26"/>
      <c r="CR25" s="29">
        <v>-154067.88341048718</v>
      </c>
      <c r="CS25" s="26"/>
      <c r="CT25" s="29">
        <v>-1276864.9410578723</v>
      </c>
      <c r="CU25" s="26"/>
      <c r="CV25" s="29">
        <v>-1069332.8190087189</v>
      </c>
      <c r="CW25" s="26"/>
      <c r="CX25" s="29">
        <v>-812677.51410231076</v>
      </c>
      <c r="CZ25" s="29">
        <v>-1211184.7992772141</v>
      </c>
      <c r="DA25" s="26"/>
      <c r="DB25" s="29">
        <v>-1554048.96</v>
      </c>
      <c r="DC25" s="75"/>
      <c r="DD25" s="29"/>
      <c r="DF25" s="29"/>
      <c r="DH25" s="29"/>
      <c r="DJ25" s="29">
        <f t="shared" si="38"/>
        <v>-768151.61472758697</v>
      </c>
      <c r="DL25" s="29">
        <f t="shared" si="39"/>
        <v>-153341.79119422473</v>
      </c>
      <c r="DN25" s="29">
        <f t="shared" si="39"/>
        <v>-242024.03769379668</v>
      </c>
      <c r="DP25" s="29">
        <f t="shared" si="39"/>
        <v>-603631.98339893622</v>
      </c>
      <c r="DR25" s="29">
        <f t="shared" si="40"/>
        <v>-2900023.756601064</v>
      </c>
      <c r="DT25" s="29">
        <f t="shared" si="41"/>
        <v>3205521.2853532275</v>
      </c>
      <c r="DV25" s="29">
        <f t="shared" si="41"/>
        <v>-3156865.7385323881</v>
      </c>
      <c r="DX25" s="29">
        <f t="shared" si="41"/>
        <v>-1371893.9622511519</v>
      </c>
      <c r="DZ25" s="29">
        <f t="shared" si="42"/>
        <v>-1085915.1461226665</v>
      </c>
      <c r="EB25" s="29">
        <f t="shared" si="43"/>
        <v>-3157793.7761141299</v>
      </c>
      <c r="ED25" s="29">
        <f t="shared" si="43"/>
        <v>-1531808.442542946</v>
      </c>
      <c r="EF25" s="29">
        <f t="shared" si="43"/>
        <v>-335902.77597756364</v>
      </c>
      <c r="EH25" s="29">
        <f t="shared" si="44"/>
        <v>-143253.87441389362</v>
      </c>
      <c r="EJ25" s="29">
        <f t="shared" si="45"/>
        <v>-615307.10596707952</v>
      </c>
      <c r="EL25" s="29">
        <f t="shared" si="45"/>
        <v>-123141.67469897211</v>
      </c>
      <c r="EN25" s="29">
        <f t="shared" si="46"/>
        <v>-112926.16654756112</v>
      </c>
      <c r="EP25" s="29">
        <f t="shared" si="47"/>
        <v>-130993.30278638718</v>
      </c>
      <c r="ER25" s="29">
        <f>AR25-AT25</f>
        <v>-387409.41987316089</v>
      </c>
      <c r="ET25" s="29">
        <f>AT25-AV25</f>
        <v>-51129.215053682099</v>
      </c>
      <c r="EV25" s="29">
        <f>AV25-AX25</f>
        <v>-327452.83414309169</v>
      </c>
      <c r="EX25" s="29">
        <f>AX25</f>
        <v>-254579.98941649334</v>
      </c>
      <c r="EZ25" s="29">
        <f>AZ25-BB25</f>
        <v>-391204.62</v>
      </c>
      <c r="FB25" s="29">
        <f>BB25-BD25</f>
        <v>-175109.90999999992</v>
      </c>
      <c r="FD25" s="29">
        <f>BD25-BF25</f>
        <v>-204459.34000000003</v>
      </c>
      <c r="FF25" s="29">
        <f>BF25</f>
        <v>-181778.63999999996</v>
      </c>
      <c r="FH25" s="29">
        <v>-150860.44000000015</v>
      </c>
      <c r="FJ25" s="29">
        <f>BJ25-BL25</f>
        <v>-282974.2099999999</v>
      </c>
      <c r="FL25" s="29">
        <f>BL25-BN25</f>
        <v>-44778.030000000028</v>
      </c>
      <c r="FN25" s="29">
        <f>BN25-BP25</f>
        <v>-50356.549999999901</v>
      </c>
      <c r="FP25" s="29">
        <f>BP25-BR25</f>
        <v>-98509.100000000064</v>
      </c>
      <c r="FR25" s="29">
        <f>BR25-BT25</f>
        <v>-53903.69</v>
      </c>
      <c r="FT25" s="29">
        <f>BT25</f>
        <v>-80557.56</v>
      </c>
      <c r="FV25" s="29">
        <f>BV25-BX25</f>
        <v>-53066.880000000005</v>
      </c>
      <c r="FX25" s="29">
        <f>BX25-BZ25</f>
        <v>-87131.57</v>
      </c>
      <c r="FZ25" s="29">
        <f>BZ25-CB25</f>
        <v>-38663.440000000002</v>
      </c>
      <c r="GB25" s="29">
        <f>CB25</f>
        <v>-146707.12</v>
      </c>
      <c r="GD25" s="29">
        <f>CD25-CF25</f>
        <v>-137197.29000000004</v>
      </c>
      <c r="GF25" s="29">
        <f>CF25-CH25</f>
        <v>-147057.63</v>
      </c>
      <c r="GH25" s="29">
        <f>CH25-CJ25</f>
        <v>-165970.78</v>
      </c>
      <c r="GJ25" s="29">
        <f>CJ25</f>
        <v>-254935.31999999998</v>
      </c>
      <c r="GL25" s="29">
        <f>CL25-CN25</f>
        <v>-166230.64905168465</v>
      </c>
      <c r="GN25" s="29">
        <f>CN25-CP25</f>
        <v>-226911.75104292523</v>
      </c>
      <c r="GP25" s="29">
        <f>CP25-CR25</f>
        <v>-344090.89649490302</v>
      </c>
      <c r="GR25" s="29">
        <f>CR25</f>
        <v>-154067.88341048718</v>
      </c>
      <c r="GT25" s="29">
        <f>CT25-CV25</f>
        <v>-207532.12204915332</v>
      </c>
      <c r="GV25" s="29">
        <f>CV25-CX25</f>
        <v>-256655.30490640819</v>
      </c>
    </row>
    <row r="26" spans="2:204">
      <c r="B26" s="26" t="s">
        <v>68</v>
      </c>
      <c r="C26" s="26"/>
      <c r="D26" s="29"/>
      <c r="E26" s="26"/>
      <c r="F26" s="29"/>
      <c r="G26" s="26"/>
      <c r="H26" s="29"/>
      <c r="I26" s="26"/>
      <c r="J26" s="29">
        <v>250622.25019999995</v>
      </c>
      <c r="K26" s="26"/>
      <c r="L26" s="29">
        <v>718458.4868999999</v>
      </c>
      <c r="M26" s="26"/>
      <c r="N26" s="29">
        <v>588112.09730000002</v>
      </c>
      <c r="O26" s="26"/>
      <c r="P26" s="29">
        <v>351899.25</v>
      </c>
      <c r="Q26" s="26"/>
      <c r="R26" s="29">
        <v>126110.64339999994</v>
      </c>
      <c r="S26" s="26"/>
      <c r="T26" s="29">
        <v>-928052.35100000014</v>
      </c>
      <c r="U26" s="26"/>
      <c r="V26" s="29">
        <v>-1156224.1536000001</v>
      </c>
      <c r="W26" s="26"/>
      <c r="X26" s="29">
        <v>-981865.27800000017</v>
      </c>
      <c r="Y26" s="26"/>
      <c r="Z26" s="29">
        <v>-1011078.7235999997</v>
      </c>
      <c r="AA26" s="26"/>
      <c r="AB26" s="29">
        <v>-1488627.2386000003</v>
      </c>
      <c r="AC26" s="26"/>
      <c r="AD26" s="29">
        <v>-945623.90499999991</v>
      </c>
      <c r="AE26" s="26"/>
      <c r="AF26" s="29">
        <v>-863878.32499999995</v>
      </c>
      <c r="AG26" s="26"/>
      <c r="AH26" s="29">
        <v>0</v>
      </c>
      <c r="AI26" s="26"/>
      <c r="AJ26" s="29">
        <v>-106515.08500000001</v>
      </c>
      <c r="AK26" s="26"/>
      <c r="AL26" s="29">
        <v>-51933.180000000008</v>
      </c>
      <c r="AM26" s="26"/>
      <c r="AN26" s="29">
        <v>-36933.180000000008</v>
      </c>
      <c r="AO26" s="26"/>
      <c r="AP26" s="29">
        <v>-7601.19</v>
      </c>
      <c r="AQ26" s="26"/>
      <c r="AR26" s="29">
        <v>-315904.065</v>
      </c>
      <c r="AS26" s="26"/>
      <c r="AT26" s="29">
        <v>-236743.86</v>
      </c>
      <c r="AU26" s="26"/>
      <c r="AV26" s="29">
        <v>-224792.87</v>
      </c>
      <c r="AW26" s="26"/>
      <c r="AX26" s="29">
        <v>-118938.575</v>
      </c>
      <c r="AY26" s="26"/>
      <c r="AZ26" s="29">
        <v>-97667.87000000001</v>
      </c>
      <c r="BA26" s="26"/>
      <c r="BB26" s="29">
        <v>-58210.404999999999</v>
      </c>
      <c r="BC26" s="26"/>
      <c r="BD26" s="29">
        <v>-58210.404999999999</v>
      </c>
      <c r="BE26" s="26"/>
      <c r="BF26" s="29">
        <v>0</v>
      </c>
      <c r="BG26" s="26"/>
      <c r="BH26" s="29">
        <v>-163384.28</v>
      </c>
      <c r="BI26" s="26"/>
      <c r="BJ26" s="29">
        <v>-143509.29499999998</v>
      </c>
      <c r="BK26" s="26"/>
      <c r="BL26" s="29">
        <v>-110641.09</v>
      </c>
      <c r="BM26" s="26"/>
      <c r="BN26" s="29">
        <v>-86508.15</v>
      </c>
      <c r="BO26" s="26"/>
      <c r="BP26" s="29">
        <v>-13347.27</v>
      </c>
      <c r="BQ26" s="26"/>
      <c r="BR26" s="29">
        <v>-8653.5499999999993</v>
      </c>
      <c r="BS26" s="26"/>
      <c r="BT26" s="29">
        <v>-0.5</v>
      </c>
      <c r="BU26" s="26"/>
      <c r="BV26" s="29">
        <v>-3629.0650000000001</v>
      </c>
      <c r="BW26" s="26"/>
      <c r="BX26" s="29">
        <v>-232.65</v>
      </c>
      <c r="BY26" s="26"/>
      <c r="BZ26" s="29">
        <v>-232.65</v>
      </c>
      <c r="CA26" s="26"/>
      <c r="CB26" s="29">
        <v>-33.5</v>
      </c>
      <c r="CC26" s="26"/>
      <c r="CD26" s="29">
        <v>-923.95</v>
      </c>
      <c r="CE26" s="26"/>
      <c r="CF26" s="29">
        <v>-249.55</v>
      </c>
      <c r="CG26" s="26"/>
      <c r="CH26" s="29">
        <v>-119.25</v>
      </c>
      <c r="CI26" s="26"/>
      <c r="CJ26" s="29">
        <v>-59.85</v>
      </c>
      <c r="CK26" s="26"/>
      <c r="CL26" s="29">
        <v>-2511</v>
      </c>
      <c r="CM26" s="26"/>
      <c r="CN26" s="29">
        <v>-15054.97</v>
      </c>
      <c r="CO26" s="26"/>
      <c r="CP26" s="29">
        <v>0</v>
      </c>
      <c r="CQ26" s="26"/>
      <c r="CR26" s="29">
        <v>0</v>
      </c>
      <c r="CS26" s="26"/>
      <c r="CT26" s="29">
        <v>0</v>
      </c>
      <c r="CU26" s="26"/>
      <c r="CV26" s="29">
        <v>-539.38000000000011</v>
      </c>
      <c r="CW26" s="25"/>
      <c r="CX26" s="29">
        <v>-379.89</v>
      </c>
      <c r="CZ26" s="29">
        <v>-391.24</v>
      </c>
      <c r="DA26" s="26"/>
      <c r="DB26" s="29">
        <v>0</v>
      </c>
      <c r="DC26" s="75"/>
      <c r="DD26" s="29"/>
      <c r="DF26" s="29"/>
      <c r="DH26" s="29"/>
      <c r="DJ26" s="29">
        <f t="shared" si="38"/>
        <v>250622.25019999995</v>
      </c>
      <c r="DL26" s="29">
        <f t="shared" si="39"/>
        <v>130346.38959999988</v>
      </c>
      <c r="DN26" s="29">
        <f t="shared" si="39"/>
        <v>236212.84730000002</v>
      </c>
      <c r="DP26" s="29">
        <f t="shared" si="39"/>
        <v>225788.60660000006</v>
      </c>
      <c r="DR26" s="29">
        <f t="shared" si="40"/>
        <v>126110.64339999994</v>
      </c>
      <c r="DT26" s="29">
        <f t="shared" si="41"/>
        <v>228171.80259999994</v>
      </c>
      <c r="DV26" s="29">
        <f t="shared" si="41"/>
        <v>-174358.87559999991</v>
      </c>
      <c r="DX26" s="29">
        <f t="shared" si="41"/>
        <v>29213.445599999512</v>
      </c>
      <c r="DZ26" s="29">
        <f t="shared" si="42"/>
        <v>-1011078.7235999997</v>
      </c>
      <c r="EB26" s="29">
        <f t="shared" si="43"/>
        <v>-543003.33360000036</v>
      </c>
      <c r="ED26" s="29">
        <f t="shared" si="43"/>
        <v>-81745.579999999958</v>
      </c>
      <c r="EF26" s="29">
        <f t="shared" si="43"/>
        <v>-863878.32499999995</v>
      </c>
      <c r="EH26" s="29">
        <f t="shared" si="44"/>
        <v>0</v>
      </c>
      <c r="EJ26" s="29">
        <f t="shared" si="45"/>
        <v>-54581.904999999999</v>
      </c>
      <c r="EL26" s="29">
        <f t="shared" si="45"/>
        <v>-15000</v>
      </c>
      <c r="EN26" s="29">
        <f t="shared" si="46"/>
        <v>-29331.990000000009</v>
      </c>
      <c r="EP26" s="29">
        <f t="shared" si="47"/>
        <v>-7601.19</v>
      </c>
      <c r="ER26" s="29">
        <f>AR26-AT26</f>
        <v>-79160.205000000016</v>
      </c>
      <c r="ET26" s="29">
        <f>AT26-AV26</f>
        <v>-11950.989999999991</v>
      </c>
      <c r="EV26" s="29">
        <f>AV26-AX26</f>
        <v>-105854.295</v>
      </c>
      <c r="EX26" s="29">
        <f>AX26</f>
        <v>-118938.575</v>
      </c>
      <c r="EZ26" s="29">
        <f>AZ26-BB26</f>
        <v>-39457.465000000011</v>
      </c>
      <c r="FB26" s="29">
        <f>BB26-BD26</f>
        <v>0</v>
      </c>
      <c r="FD26" s="29">
        <f>BD26-BF26</f>
        <v>-58210.404999999999</v>
      </c>
      <c r="FF26" s="29">
        <f>BF26</f>
        <v>0</v>
      </c>
      <c r="FH26" s="29">
        <v>-19874.985000000008</v>
      </c>
      <c r="FJ26" s="29">
        <f>BJ26-BL26</f>
        <v>-32868.204999999987</v>
      </c>
      <c r="FL26" s="29">
        <f>BL26-BN26</f>
        <v>-24132.940000000002</v>
      </c>
      <c r="FN26" s="29">
        <f>BN26-BP26</f>
        <v>-73160.87999999999</v>
      </c>
      <c r="FP26" s="29">
        <f>BP26-BR26</f>
        <v>-4693.7200000000012</v>
      </c>
      <c r="FR26" s="29">
        <f>BR26-BT26</f>
        <v>-8653.0499999999993</v>
      </c>
      <c r="FT26" s="29">
        <f>BT26</f>
        <v>-0.5</v>
      </c>
      <c r="FV26" s="29">
        <f>BV26-BX26</f>
        <v>-3396.415</v>
      </c>
      <c r="FX26" s="29">
        <f>BX26-BZ26</f>
        <v>0</v>
      </c>
      <c r="FZ26" s="29">
        <f>BZ26-CB26</f>
        <v>-199.15</v>
      </c>
      <c r="GB26" s="29">
        <f>CB26</f>
        <v>-33.5</v>
      </c>
      <c r="GD26" s="29">
        <f>CD26-CF26</f>
        <v>-674.40000000000009</v>
      </c>
      <c r="GF26" s="29">
        <f>CF26-CH26</f>
        <v>-130.30000000000001</v>
      </c>
      <c r="GH26" s="29">
        <f>CH26-CJ26</f>
        <v>-59.4</v>
      </c>
      <c r="GJ26" s="29">
        <f>CJ26</f>
        <v>-59.85</v>
      </c>
      <c r="GL26" s="29">
        <f>CL26-CN26</f>
        <v>12543.97</v>
      </c>
      <c r="GN26" s="29">
        <f>CN26-CP26</f>
        <v>-15054.97</v>
      </c>
      <c r="GP26" s="29">
        <f>CP26-CR26</f>
        <v>0</v>
      </c>
      <c r="GR26" s="29">
        <f>CR26</f>
        <v>0</v>
      </c>
      <c r="GT26" s="29">
        <f>CT26-CV26</f>
        <v>539.38000000000011</v>
      </c>
      <c r="GV26" s="29">
        <f>CV26-CX26</f>
        <v>-159.49000000000012</v>
      </c>
    </row>
    <row r="27" spans="2:204" ht="18">
      <c r="B27" s="26" t="s">
        <v>69</v>
      </c>
      <c r="C27" s="26"/>
      <c r="D27" s="29"/>
      <c r="E27" s="26"/>
      <c r="F27" s="29"/>
      <c r="G27" s="26"/>
      <c r="H27" s="29"/>
      <c r="I27" s="26"/>
      <c r="J27" s="29">
        <v>0</v>
      </c>
      <c r="K27" s="26"/>
      <c r="L27" s="29">
        <v>0</v>
      </c>
      <c r="M27" s="26"/>
      <c r="N27" s="29">
        <v>0</v>
      </c>
      <c r="O27" s="26"/>
      <c r="P27" s="29"/>
      <c r="Q27" s="26"/>
      <c r="R27" s="29">
        <v>0</v>
      </c>
      <c r="S27" s="26"/>
      <c r="T27" s="29">
        <v>0</v>
      </c>
      <c r="U27" s="26"/>
      <c r="V27" s="29">
        <v>0</v>
      </c>
      <c r="W27" s="26"/>
      <c r="X27" s="29">
        <v>0</v>
      </c>
      <c r="Y27" s="26"/>
      <c r="Z27" s="29">
        <v>0</v>
      </c>
      <c r="AA27" s="26"/>
      <c r="AB27" s="29">
        <v>0</v>
      </c>
      <c r="AC27" s="26"/>
      <c r="AD27" s="29">
        <v>0</v>
      </c>
      <c r="AE27" s="26"/>
      <c r="AF27" s="29">
        <v>0</v>
      </c>
      <c r="AG27" s="26"/>
      <c r="AH27" s="29">
        <v>0</v>
      </c>
      <c r="AI27" s="26"/>
      <c r="AJ27" s="29">
        <v>0</v>
      </c>
      <c r="AK27" s="26"/>
      <c r="AL27" s="29">
        <v>0</v>
      </c>
      <c r="AM27" s="26"/>
      <c r="AN27" s="29">
        <v>0</v>
      </c>
      <c r="AO27" s="26"/>
      <c r="AP27" s="29">
        <v>0</v>
      </c>
      <c r="AQ27" s="26"/>
      <c r="AR27" s="29">
        <v>0</v>
      </c>
      <c r="AS27" s="26"/>
      <c r="AT27" s="29">
        <v>0</v>
      </c>
      <c r="AU27" s="26"/>
      <c r="AV27" s="29"/>
      <c r="AW27" s="26"/>
      <c r="AX27" s="29">
        <v>0</v>
      </c>
      <c r="AY27" s="26"/>
      <c r="AZ27" s="29">
        <v>0</v>
      </c>
      <c r="BA27" s="26"/>
      <c r="BB27" s="29">
        <v>0</v>
      </c>
      <c r="BC27" s="26"/>
      <c r="BD27" s="29">
        <v>0</v>
      </c>
      <c r="BE27" s="26"/>
      <c r="BF27" s="29">
        <v>0</v>
      </c>
      <c r="BG27" s="26"/>
      <c r="BH27" s="29">
        <v>0</v>
      </c>
      <c r="BI27" s="26"/>
      <c r="BJ27" s="29">
        <v>0</v>
      </c>
      <c r="BK27" s="26"/>
      <c r="BL27" s="29">
        <v>0</v>
      </c>
      <c r="BM27" s="26"/>
      <c r="BN27" s="29">
        <v>0</v>
      </c>
      <c r="BO27" s="26"/>
      <c r="BP27" s="29">
        <v>0</v>
      </c>
      <c r="BQ27" s="26"/>
      <c r="BR27" s="29">
        <v>0</v>
      </c>
      <c r="BS27" s="26"/>
      <c r="BT27" s="29">
        <v>0</v>
      </c>
      <c r="BU27" s="26"/>
      <c r="BV27" s="29"/>
      <c r="BW27" s="26"/>
      <c r="BX27" s="29">
        <v>0</v>
      </c>
      <c r="BY27" s="26"/>
      <c r="BZ27" s="29"/>
      <c r="CA27" s="26"/>
      <c r="CB27" s="29"/>
      <c r="CC27" s="26"/>
      <c r="CD27" s="29"/>
      <c r="CE27" s="26"/>
      <c r="CF27" s="29">
        <v>0</v>
      </c>
      <c r="CG27" s="26"/>
      <c r="CH27" s="29">
        <v>0</v>
      </c>
      <c r="CI27" s="26"/>
      <c r="CJ27" s="29">
        <v>0</v>
      </c>
      <c r="CK27" s="26"/>
      <c r="CL27" s="29">
        <v>0</v>
      </c>
      <c r="CM27" s="26"/>
      <c r="CN27" s="29">
        <v>0</v>
      </c>
      <c r="CO27" s="26"/>
      <c r="CP27" s="29">
        <v>0</v>
      </c>
      <c r="CQ27" s="26"/>
      <c r="CR27" s="29">
        <v>0</v>
      </c>
      <c r="CS27" s="26"/>
      <c r="CT27" s="29">
        <v>0</v>
      </c>
      <c r="CU27" s="26"/>
      <c r="CV27" s="29">
        <v>0</v>
      </c>
      <c r="CW27" s="26"/>
      <c r="CX27" s="29">
        <v>0</v>
      </c>
      <c r="CZ27" s="29">
        <v>0</v>
      </c>
      <c r="DA27" s="26"/>
      <c r="DB27" s="29">
        <v>0</v>
      </c>
      <c r="DC27" s="75"/>
      <c r="DD27" s="29"/>
      <c r="DF27" s="29"/>
      <c r="DH27" s="29"/>
      <c r="DJ27" s="29">
        <f t="shared" si="38"/>
        <v>0</v>
      </c>
      <c r="DL27" s="29">
        <f t="shared" si="39"/>
        <v>0</v>
      </c>
      <c r="DN27" s="29">
        <f t="shared" si="39"/>
        <v>0</v>
      </c>
      <c r="DP27" s="29">
        <f t="shared" si="39"/>
        <v>0</v>
      </c>
      <c r="DR27" s="29">
        <f t="shared" si="40"/>
        <v>0</v>
      </c>
      <c r="DT27" s="29">
        <f t="shared" si="41"/>
        <v>0</v>
      </c>
      <c r="DV27" s="29">
        <f t="shared" si="41"/>
        <v>0</v>
      </c>
      <c r="DX27" s="29">
        <f t="shared" si="41"/>
        <v>0</v>
      </c>
      <c r="DZ27" s="29">
        <f t="shared" si="42"/>
        <v>0</v>
      </c>
      <c r="EB27" s="29">
        <f t="shared" si="43"/>
        <v>0</v>
      </c>
      <c r="ED27" s="29">
        <f t="shared" si="43"/>
        <v>0</v>
      </c>
      <c r="EF27" s="29">
        <f t="shared" si="43"/>
        <v>0</v>
      </c>
      <c r="EH27" s="29">
        <f t="shared" si="44"/>
        <v>0</v>
      </c>
      <c r="EJ27" s="29">
        <f t="shared" si="45"/>
        <v>0</v>
      </c>
      <c r="EL27" s="29">
        <f t="shared" si="45"/>
        <v>0</v>
      </c>
      <c r="EN27" s="29">
        <f t="shared" si="46"/>
        <v>0</v>
      </c>
      <c r="EP27" s="29">
        <f t="shared" si="47"/>
        <v>0</v>
      </c>
      <c r="ER27" s="29">
        <f>AR27-AT27</f>
        <v>0</v>
      </c>
      <c r="ET27" s="29">
        <f>AT27-AV27</f>
        <v>0</v>
      </c>
      <c r="EV27" s="29">
        <f>AV27-AX27</f>
        <v>0</v>
      </c>
      <c r="EX27" s="29">
        <f>AX27</f>
        <v>0</v>
      </c>
      <c r="EZ27" s="29">
        <f>AZ27-BB27</f>
        <v>0</v>
      </c>
      <c r="FB27" s="29">
        <f>BB27-BD27</f>
        <v>0</v>
      </c>
      <c r="FD27" s="29">
        <f>BD27-BF27</f>
        <v>0</v>
      </c>
      <c r="FF27" s="29">
        <f>BF27</f>
        <v>0</v>
      </c>
      <c r="FH27" s="29">
        <v>0</v>
      </c>
      <c r="FJ27" s="29">
        <f>BJ27-BL27</f>
        <v>0</v>
      </c>
      <c r="FL27" s="29">
        <f>BL27-BN27</f>
        <v>0</v>
      </c>
      <c r="FN27" s="29">
        <f>BN27-BP27</f>
        <v>0</v>
      </c>
      <c r="FP27" s="29">
        <f>BP27-BR27</f>
        <v>0</v>
      </c>
      <c r="FR27" s="29">
        <f>BR27-BT27</f>
        <v>0</v>
      </c>
      <c r="FT27" s="29">
        <f>BT27</f>
        <v>0</v>
      </c>
      <c r="FV27" s="29">
        <f>BV27-BX27</f>
        <v>0</v>
      </c>
      <c r="FX27" s="29">
        <f>BX27-BZ27</f>
        <v>0</v>
      </c>
      <c r="FZ27" s="29">
        <f>BZ27-CB27</f>
        <v>0</v>
      </c>
      <c r="GB27" s="29">
        <f>CB27</f>
        <v>0</v>
      </c>
      <c r="GD27" s="29">
        <f>CD27-CF27</f>
        <v>0</v>
      </c>
      <c r="GF27" s="29">
        <f>CF27-CH27</f>
        <v>0</v>
      </c>
      <c r="GH27" s="29">
        <f>CH27-CJ27</f>
        <v>0</v>
      </c>
      <c r="GJ27" s="29">
        <f>CJ27</f>
        <v>0</v>
      </c>
      <c r="GL27" s="29">
        <f>CL27-CN27</f>
        <v>0</v>
      </c>
      <c r="GN27" s="29">
        <f>CN27-CP27</f>
        <v>0</v>
      </c>
      <c r="GP27" s="29">
        <f>CP27-CR27</f>
        <v>0</v>
      </c>
      <c r="GR27" s="29">
        <f>CR27</f>
        <v>0</v>
      </c>
      <c r="GT27" s="29">
        <f>CT27-CV27</f>
        <v>0</v>
      </c>
      <c r="GV27" s="29">
        <f>CV27-CX27</f>
        <v>0</v>
      </c>
    </row>
    <row r="28" spans="2:204">
      <c r="B28" s="33"/>
      <c r="C28" s="33"/>
      <c r="D28" s="29"/>
      <c r="E28" s="33"/>
      <c r="F28" s="29"/>
      <c r="G28" s="33"/>
      <c r="H28" s="29"/>
      <c r="I28" s="33"/>
      <c r="J28" s="29"/>
      <c r="K28" s="33"/>
      <c r="L28" s="29"/>
      <c r="M28" s="33"/>
      <c r="N28" s="29"/>
      <c r="O28" s="33"/>
      <c r="P28" s="29"/>
      <c r="Q28" s="33"/>
      <c r="R28" s="29"/>
      <c r="S28" s="33"/>
      <c r="T28" s="29"/>
      <c r="U28" s="33"/>
      <c r="V28" s="29"/>
      <c r="W28" s="33"/>
      <c r="X28" s="29"/>
      <c r="Y28" s="33"/>
      <c r="Z28" s="29"/>
      <c r="AA28" s="33"/>
      <c r="AB28" s="29"/>
      <c r="AC28" s="33"/>
      <c r="AD28" s="29"/>
      <c r="AE28" s="33"/>
      <c r="AF28" s="29"/>
      <c r="AG28" s="33"/>
      <c r="AH28" s="29"/>
      <c r="AI28" s="33"/>
      <c r="AJ28" s="29"/>
      <c r="AK28" s="33"/>
      <c r="AL28" s="29"/>
      <c r="AM28" s="33"/>
      <c r="AN28" s="29"/>
      <c r="AO28" s="33"/>
      <c r="AP28" s="29"/>
      <c r="AQ28" s="33"/>
      <c r="AR28" s="29"/>
      <c r="AS28" s="33"/>
      <c r="AT28" s="29"/>
      <c r="AU28" s="33"/>
      <c r="AV28" s="29"/>
      <c r="AW28" s="33"/>
      <c r="AX28" s="29"/>
      <c r="AY28" s="33"/>
      <c r="AZ28" s="29"/>
      <c r="BA28" s="33"/>
      <c r="BB28" s="29"/>
      <c r="BC28" s="33"/>
      <c r="BD28" s="29"/>
      <c r="BE28" s="33"/>
      <c r="BF28" s="29"/>
      <c r="BG28" s="33"/>
      <c r="BH28" s="29"/>
      <c r="BI28" s="33"/>
      <c r="BJ28" s="29"/>
      <c r="BK28" s="33"/>
      <c r="BL28" s="29"/>
      <c r="BM28" s="33"/>
      <c r="BN28" s="29"/>
      <c r="BO28" s="33"/>
      <c r="BP28" s="29"/>
      <c r="BQ28" s="33"/>
      <c r="BR28" s="29"/>
      <c r="BS28" s="33"/>
      <c r="BT28" s="29"/>
      <c r="BU28" s="33"/>
      <c r="BV28" s="29"/>
      <c r="BW28" s="33"/>
      <c r="BX28" s="29"/>
      <c r="BY28" s="33"/>
      <c r="BZ28" s="29"/>
      <c r="CA28" s="33"/>
      <c r="CB28" s="29"/>
      <c r="CC28" s="33"/>
      <c r="CD28" s="29"/>
      <c r="CE28" s="33"/>
      <c r="CF28" s="29"/>
      <c r="CG28" s="33"/>
      <c r="CH28" s="29"/>
      <c r="CI28" s="33"/>
      <c r="CJ28" s="29"/>
      <c r="CK28" s="33"/>
      <c r="CL28" s="29"/>
      <c r="CM28" s="33"/>
      <c r="CN28" s="29"/>
      <c r="CO28" s="33"/>
      <c r="CP28" s="29"/>
      <c r="CQ28" s="33"/>
      <c r="CR28" s="29"/>
      <c r="CS28" s="33"/>
      <c r="CT28" s="29"/>
      <c r="CU28" s="33"/>
      <c r="CV28" s="29"/>
      <c r="CW28" s="25"/>
      <c r="CX28" s="29"/>
      <c r="CZ28" s="29"/>
      <c r="DA28" s="33"/>
      <c r="DB28" s="29"/>
      <c r="DC28" s="79"/>
      <c r="DD28" s="29"/>
      <c r="DF28" s="29"/>
      <c r="DH28" s="29"/>
      <c r="DJ28" s="29"/>
      <c r="DL28" s="29"/>
      <c r="DN28" s="29"/>
      <c r="DP28" s="29"/>
      <c r="DR28" s="29"/>
      <c r="DT28" s="29"/>
      <c r="DV28" s="29"/>
      <c r="DX28" s="29"/>
      <c r="DZ28" s="29"/>
      <c r="EB28" s="29"/>
      <c r="ED28" s="29"/>
      <c r="EF28" s="29"/>
      <c r="EH28" s="29"/>
      <c r="EJ28" s="29"/>
      <c r="EL28" s="29"/>
      <c r="EN28" s="29"/>
      <c r="EP28" s="29"/>
      <c r="ER28" s="29"/>
      <c r="ET28" s="29"/>
      <c r="EV28" s="29"/>
      <c r="EX28" s="29"/>
      <c r="EZ28" s="29"/>
      <c r="FB28" s="29"/>
      <c r="FD28" s="29"/>
      <c r="FF28" s="29"/>
      <c r="FH28" s="29"/>
      <c r="FJ28" s="29"/>
      <c r="FL28" s="29"/>
      <c r="FN28" s="29"/>
      <c r="FP28" s="29"/>
      <c r="FR28" s="29"/>
      <c r="FT28" s="29"/>
      <c r="FV28" s="29"/>
      <c r="FX28" s="29"/>
      <c r="FZ28" s="29"/>
      <c r="GB28" s="29"/>
      <c r="GD28" s="29"/>
      <c r="GF28" s="29"/>
      <c r="GH28" s="29"/>
      <c r="GJ28" s="29"/>
      <c r="GL28" s="29"/>
      <c r="GN28" s="29"/>
      <c r="GP28" s="29"/>
      <c r="GR28" s="29"/>
      <c r="GT28" s="29"/>
      <c r="GV28" s="29"/>
    </row>
    <row r="29" spans="2:204">
      <c r="B29" s="25" t="s">
        <v>70</v>
      </c>
      <c r="C29" s="25"/>
      <c r="D29" s="31"/>
      <c r="E29" s="25"/>
      <c r="F29" s="31"/>
      <c r="G29" s="25"/>
      <c r="H29" s="31"/>
      <c r="I29" s="25"/>
      <c r="J29" s="31">
        <f>SUM(J22,J24:J27)</f>
        <v>40975700.97516375</v>
      </c>
      <c r="K29" s="25"/>
      <c r="L29" s="31">
        <f>SUM(L22,L24:L27)</f>
        <v>103908175.22083984</v>
      </c>
      <c r="M29" s="25"/>
      <c r="N29" s="31">
        <f>SUM(N22,N24:N27)</f>
        <v>79601789.669259831</v>
      </c>
      <c r="O29" s="25"/>
      <c r="P29" s="31">
        <f>SUM(P22,P24:P27)</f>
        <v>58898468.49000001</v>
      </c>
      <c r="Q29" s="25"/>
      <c r="R29" s="31">
        <f>SUM(R22,R24:R27)</f>
        <v>43600466.415914431</v>
      </c>
      <c r="S29" s="25"/>
      <c r="T29" s="31">
        <f>SUM(T22,T24:T27)</f>
        <v>65674902.80629237</v>
      </c>
      <c r="U29" s="25"/>
      <c r="V29" s="31">
        <f>SUM(V22,V24:V27)</f>
        <v>46043976.779305488</v>
      </c>
      <c r="W29" s="25"/>
      <c r="X29" s="31">
        <f>SUM(X22,X24:X27)</f>
        <v>28745114.026112989</v>
      </c>
      <c r="Y29" s="25"/>
      <c r="Z29" s="31">
        <f>SUM(Z22,Z24:Z27)</f>
        <v>23889522.539799407</v>
      </c>
      <c r="AA29" s="25"/>
      <c r="AB29" s="31">
        <f>SUM(AB22,AB24:AB27)</f>
        <v>12288921.686115876</v>
      </c>
      <c r="AC29" s="25"/>
      <c r="AD29" s="31">
        <f>SUM(AD22,AD24:AD27)</f>
        <v>9129804.732632434</v>
      </c>
      <c r="AE29" s="25"/>
      <c r="AF29" s="31">
        <f>SUM(AF22,AF24:AF27)</f>
        <v>8331012.0217991555</v>
      </c>
      <c r="AG29" s="25"/>
      <c r="AH29" s="31">
        <f>SUM(AH22,AH24:AH27)</f>
        <v>2218824.8082008772</v>
      </c>
      <c r="AI29" s="25"/>
      <c r="AJ29" s="31">
        <f>SUM(AJ22,AJ24:AJ27)</f>
        <v>10221411.712999988</v>
      </c>
      <c r="AK29" s="25"/>
      <c r="AL29" s="31">
        <f>SUM(AL22,AL24:AL27)</f>
        <v>6507323.2469061594</v>
      </c>
      <c r="AM29" s="25"/>
      <c r="AN29" s="31">
        <f>SUM(AN22,AN24:AN27)</f>
        <v>7046367.9538111379</v>
      </c>
      <c r="AO29" s="25"/>
      <c r="AP29" s="31">
        <f>SUM(AP22,AP24:AP27)</f>
        <v>4485950.3253001589</v>
      </c>
      <c r="AQ29" s="25"/>
      <c r="AR29" s="31">
        <f>SUM(AR22,AR24:AR27)</f>
        <v>11093134.360667979</v>
      </c>
      <c r="AS29" s="25"/>
      <c r="AT29" s="31">
        <f>SUM(AT22,AT24:AT27)</f>
        <v>7655124.8075636262</v>
      </c>
      <c r="AU29" s="25"/>
      <c r="AV29" s="31">
        <f>SUM(AV22,AV24:AV27)</f>
        <v>6173534.2553553525</v>
      </c>
      <c r="AW29" s="25"/>
      <c r="AX29" s="31">
        <f>SUM(AX22,AX24:AX27)</f>
        <v>3172570.0593434861</v>
      </c>
      <c r="AY29" s="25"/>
      <c r="AZ29" s="31">
        <f>SUM(AZ22,AZ24:AZ27)</f>
        <v>11767107.228000019</v>
      </c>
      <c r="BA29" s="25"/>
      <c r="BB29" s="31">
        <f>SUM(BB22,BB24:BB27)</f>
        <v>11756009.418500006</v>
      </c>
      <c r="BC29" s="25"/>
      <c r="BD29" s="31">
        <f>SUM(BD22,BD24:BD27)</f>
        <v>11692226.659392931</v>
      </c>
      <c r="BE29" s="25"/>
      <c r="BF29" s="31">
        <f>SUM(BF22,BF24:BF27)</f>
        <v>10265983.099892925</v>
      </c>
      <c r="BG29" s="25"/>
      <c r="BH29" s="31">
        <f>SUM(BH22,BH24:BH27)</f>
        <v>10712069.731933311</v>
      </c>
      <c r="BI29" s="25"/>
      <c r="BJ29" s="31">
        <f>SUM(BJ22,BJ24:BJ27)</f>
        <v>13918142.419975013</v>
      </c>
      <c r="BK29" s="25"/>
      <c r="BL29" s="31">
        <f>SUM(BL22,BL24:BL27)</f>
        <v>12557753.802499995</v>
      </c>
      <c r="BM29" s="25"/>
      <c r="BN29" s="31">
        <f>SUM(BN22,BN24:BN27)</f>
        <v>5087120.7402083334</v>
      </c>
      <c r="BO29" s="25"/>
      <c r="BP29" s="31">
        <f>SUM(BP22,BP24:BP27)</f>
        <v>1147982.3860833358</v>
      </c>
      <c r="BQ29" s="25"/>
      <c r="BR29" s="31">
        <f>SUM(BR22,BR24:BR27)</f>
        <v>596666.30999999924</v>
      </c>
      <c r="BS29" s="25"/>
      <c r="BT29" s="31">
        <f>SUM(BT22,BT24:BT27)</f>
        <v>162290.56999999861</v>
      </c>
      <c r="BU29" s="25"/>
      <c r="BV29" s="31">
        <f>SUM(BV22,BV24:BV27)</f>
        <v>1951536.0049999945</v>
      </c>
      <c r="BW29" s="25"/>
      <c r="BX29" s="31">
        <f>SUM(BX22,BX24:BX27)</f>
        <v>832510.31999999913</v>
      </c>
      <c r="BY29" s="25"/>
      <c r="BZ29" s="31">
        <f>SUM(BZ22,BZ24:BZ27)</f>
        <v>393172.86000000098</v>
      </c>
      <c r="CA29" s="25"/>
      <c r="CB29" s="31">
        <f>SUM(CB22,CB24:CB27)</f>
        <v>-99402.829999999172</v>
      </c>
      <c r="CC29" s="25"/>
      <c r="CD29" s="31">
        <f>SUM(CD22,CD24:CD27)</f>
        <v>-1180674.7999999863</v>
      </c>
      <c r="CE29" s="25"/>
      <c r="CF29" s="31">
        <f>SUM(CF22,CF24:CF27)</f>
        <v>-1773506.0400000042</v>
      </c>
      <c r="CG29" s="25"/>
      <c r="CH29" s="31">
        <f>SUM(CH22,CH24:CH27)</f>
        <v>-3814429.060000001</v>
      </c>
      <c r="CI29" s="25"/>
      <c r="CJ29" s="31">
        <f>SUM(CJ22,CJ24:CJ27)</f>
        <v>-1026057.2899999971</v>
      </c>
      <c r="CK29" s="25"/>
      <c r="CL29" s="31">
        <f>SUM(CL22,CL24:CL27)</f>
        <v>4187809.4899999923</v>
      </c>
      <c r="CM29" s="25"/>
      <c r="CN29" s="31">
        <f>SUM(CN22,CN24:CN27)</f>
        <v>2159142.9284523781</v>
      </c>
      <c r="CO29" s="25"/>
      <c r="CP29" s="31">
        <f>SUM(CP22,CP24:CP27)</f>
        <v>1064551.7930284033</v>
      </c>
      <c r="CQ29" s="25"/>
      <c r="CR29" s="31">
        <f>SUM(CR22,CR24:CR27)</f>
        <v>237856.22305641123</v>
      </c>
      <c r="CS29" s="25"/>
      <c r="CT29" s="31">
        <f>SUM(CT22,CT24:CT27)</f>
        <v>9209454.4571698289</v>
      </c>
      <c r="CU29" s="25"/>
      <c r="CV29" s="31">
        <f>SUM(CV22,CV24:CV27)</f>
        <v>4008834.8389291549</v>
      </c>
      <c r="CW29" s="8"/>
      <c r="CX29" s="31">
        <f>SUM(CX22,CX24:CX27)</f>
        <v>839710.12118960847</v>
      </c>
      <c r="CZ29" s="31">
        <f>SUM(CZ22,CZ24:CZ27)</f>
        <v>-1009046.7551121059</v>
      </c>
      <c r="DA29" s="25"/>
      <c r="DB29" s="31">
        <f>SUM(DB22,DB24:DB27)</f>
        <v>-1690557.0500000077</v>
      </c>
      <c r="DC29" s="78"/>
      <c r="DD29" s="31"/>
      <c r="DF29" s="31"/>
      <c r="DH29" s="31"/>
      <c r="DJ29" s="31">
        <f>SUM(DJ22,DJ24:DJ27)</f>
        <v>40975700.97516375</v>
      </c>
      <c r="DL29" s="31">
        <f>SUM(DL22,DL24:DL27)</f>
        <v>24306385.551580034</v>
      </c>
      <c r="DN29" s="31">
        <f>SUM(DN22,DN24:DN27)</f>
        <v>20703321.179259844</v>
      </c>
      <c r="DP29" s="31">
        <f>SUM(DP22,DP24:DP27)</f>
        <v>15298002.074085563</v>
      </c>
      <c r="DR29" s="31">
        <f>SUM(DR22,DR24:DR27)</f>
        <v>43600466.415914431</v>
      </c>
      <c r="DT29" s="31">
        <f>SUM(DT22,DT24:DT27)</f>
        <v>19630926.026986886</v>
      </c>
      <c r="DV29" s="31">
        <f>SUM(DV22,DV24:DV27)</f>
        <v>17298862.753192507</v>
      </c>
      <c r="DX29" s="31">
        <f>SUM(DX22,DX24:DX27)</f>
        <v>4855591.4863135889</v>
      </c>
      <c r="DZ29" s="31">
        <f>SUM(DZ22,DZ24:DZ27)</f>
        <v>23889522.539799407</v>
      </c>
      <c r="EB29" s="31">
        <f>SUM(EB22,EB24:EB27)</f>
        <v>3159116.953483419</v>
      </c>
      <c r="ED29" s="31">
        <f>SUM(ED22,ED24:ED27)</f>
        <v>798792.71083329257</v>
      </c>
      <c r="EF29" s="31">
        <f>SUM(EF22,EF24:EF27)</f>
        <v>6112187.2135982737</v>
      </c>
      <c r="EH29" s="31">
        <f>SUM(EH22,EH24:EH27)</f>
        <v>2218824.8082008772</v>
      </c>
      <c r="EJ29" s="31">
        <f>SUM(EJ22,EJ24:EJ27)</f>
        <v>3714088.4660938294</v>
      </c>
      <c r="EL29" s="31">
        <f>SUM(EL22,EL24:EL27)</f>
        <v>-539044.70690497791</v>
      </c>
      <c r="EN29" s="31">
        <f>SUM(EN22,EN24:EN27)</f>
        <v>2560417.6285109739</v>
      </c>
      <c r="EP29" s="31">
        <f>SUM(EP22,EP24:EP27)</f>
        <v>4485950.3253001589</v>
      </c>
      <c r="ER29" s="31">
        <f>SUM(ER22,ER24:ER27)</f>
        <v>3438009.5531043564</v>
      </c>
      <c r="ET29" s="31">
        <f>SUM(ET22,ET24:ET27)</f>
        <v>1481590.552208266</v>
      </c>
      <c r="EV29" s="31">
        <f>SUM(EV22,EV24:EV27)</f>
        <v>3000964.1960118748</v>
      </c>
      <c r="EX29" s="31">
        <f>SUM(EX22,EX24:EX27)</f>
        <v>3172570.0593434861</v>
      </c>
      <c r="EZ29" s="31">
        <f>SUM(EZ22,EZ24:EZ27)</f>
        <v>11097.809499992596</v>
      </c>
      <c r="FB29" s="31">
        <f>SUM(FB22,FB24:FB27)</f>
        <v>63782.759107074118</v>
      </c>
      <c r="FD29" s="31">
        <f>SUM(FD22,FD24:FD27)</f>
        <v>1426243.5595000151</v>
      </c>
      <c r="FF29" s="31">
        <f>SUM(FF22,FF24:FF27)</f>
        <v>10265983.099892925</v>
      </c>
      <c r="FH29" s="31">
        <f>SUM(FH22,FH24:FH27)</f>
        <v>-905162.76804169314</v>
      </c>
      <c r="FJ29" s="31">
        <f>SUM(FJ22,FJ24:FJ27)</f>
        <v>1360388.6174750272</v>
      </c>
      <c r="FL29" s="31">
        <f>SUM(FL22,FL24:FL27)</f>
        <v>7470633.0622916529</v>
      </c>
      <c r="FN29" s="31">
        <f>SUM(FN22,FN24:FN27)</f>
        <v>3939138.3541249945</v>
      </c>
      <c r="FP29" s="31">
        <f>SUM(FP22,FP24:FP27)</f>
        <v>551316.07608333288</v>
      </c>
      <c r="FR29" s="31">
        <f>SUM(FR22,FR24:FR27)</f>
        <v>434375.7399999979</v>
      </c>
      <c r="FT29" s="31">
        <f>SUM(FT22,FT24:FT27)</f>
        <v>162290.56999999861</v>
      </c>
      <c r="FV29" s="31">
        <f>SUM(FV22,FV24:FV27)</f>
        <v>1119025.6849999973</v>
      </c>
      <c r="FX29" s="31">
        <f>SUM(FX22,FX24:FX27)</f>
        <v>439337.45999999804</v>
      </c>
      <c r="FZ29" s="31">
        <f>SUM(FZ22,FZ24:FZ27)</f>
        <v>492575.6900000021</v>
      </c>
      <c r="GB29" s="31">
        <f>SUM(GB22,GB24:GB27)</f>
        <v>-99402.829999999172</v>
      </c>
      <c r="GD29" s="31">
        <f>SUM(GD22,GD24:GD27)</f>
        <v>592831.24000001035</v>
      </c>
      <c r="GF29" s="31">
        <f>SUM(GF22,GF24:GF27)</f>
        <v>2040923.0199999933</v>
      </c>
      <c r="GH29" s="31">
        <f>SUM(GH22,GH24:GH27)</f>
        <v>-2788371.7700000028</v>
      </c>
      <c r="GJ29" s="31">
        <f>SUM(GJ22,GJ24:GJ27)</f>
        <v>-1026057.2899999971</v>
      </c>
      <c r="GL29" s="31">
        <f>SUM(GL22,GL24:GL27)</f>
        <v>2028666.5615476221</v>
      </c>
      <c r="GN29" s="31">
        <f>SUM(GN22,GN24:GN27)</f>
        <v>1094591.1354239674</v>
      </c>
      <c r="GP29" s="31">
        <f>SUM(GP22,GP24:GP27)</f>
        <v>826695.56997199764</v>
      </c>
      <c r="GR29" s="31">
        <f>SUM(GR22,GR24:GR27)</f>
        <v>237856.22305641123</v>
      </c>
      <c r="GT29" s="31">
        <f>SUM(GT22,GT24:GT27)</f>
        <v>5200619.6182406703</v>
      </c>
      <c r="GV29" s="31">
        <f>SUM(GV22,GV24:GV27)</f>
        <v>3169124.7177395532</v>
      </c>
    </row>
    <row r="30" spans="2:204">
      <c r="B30" s="25"/>
      <c r="C30" s="25"/>
      <c r="D30" s="29"/>
      <c r="E30" s="25"/>
      <c r="F30" s="29"/>
      <c r="G30" s="25"/>
      <c r="H30" s="29"/>
      <c r="I30" s="25"/>
      <c r="J30" s="29"/>
      <c r="K30" s="25"/>
      <c r="L30" s="29"/>
      <c r="M30" s="25"/>
      <c r="N30" s="29"/>
      <c r="O30" s="25"/>
      <c r="P30" s="29"/>
      <c r="Q30" s="25"/>
      <c r="R30" s="29"/>
      <c r="S30" s="25"/>
      <c r="T30" s="29"/>
      <c r="U30" s="25"/>
      <c r="V30" s="29"/>
      <c r="W30" s="25"/>
      <c r="X30" s="29"/>
      <c r="Y30" s="25"/>
      <c r="Z30" s="29"/>
      <c r="AA30" s="25"/>
      <c r="AB30" s="29"/>
      <c r="AC30" s="25"/>
      <c r="AD30" s="29"/>
      <c r="AE30" s="25"/>
      <c r="AF30" s="29"/>
      <c r="AG30" s="25"/>
      <c r="AH30" s="29"/>
      <c r="AI30" s="25"/>
      <c r="AJ30" s="29"/>
      <c r="AK30" s="25"/>
      <c r="AL30" s="29"/>
      <c r="AM30" s="25"/>
      <c r="AN30" s="29"/>
      <c r="AO30" s="25"/>
      <c r="AP30" s="29"/>
      <c r="AQ30" s="25"/>
      <c r="AR30" s="29"/>
      <c r="AS30" s="25"/>
      <c r="AT30" s="29"/>
      <c r="AU30" s="25"/>
      <c r="AV30" s="29"/>
      <c r="AW30" s="25"/>
      <c r="AX30" s="29"/>
      <c r="AY30" s="25"/>
      <c r="AZ30" s="29"/>
      <c r="BA30" s="25"/>
      <c r="BB30" s="29"/>
      <c r="BC30" s="25"/>
      <c r="BD30" s="29"/>
      <c r="BE30" s="25"/>
      <c r="BF30" s="29"/>
      <c r="BG30" s="25"/>
      <c r="BH30" s="29"/>
      <c r="BI30" s="25"/>
      <c r="BJ30" s="29"/>
      <c r="BK30" s="25"/>
      <c r="BL30" s="29"/>
      <c r="BM30" s="25"/>
      <c r="BN30" s="29"/>
      <c r="BO30" s="25"/>
      <c r="BP30" s="29"/>
      <c r="BQ30" s="25"/>
      <c r="BR30" s="29"/>
      <c r="BS30" s="25"/>
      <c r="BT30" s="29"/>
      <c r="BU30" s="25"/>
      <c r="BV30" s="29"/>
      <c r="BW30" s="25"/>
      <c r="BX30" s="29"/>
      <c r="BY30" s="25"/>
      <c r="BZ30" s="29"/>
      <c r="CA30" s="25"/>
      <c r="CB30" s="29"/>
      <c r="CC30" s="25"/>
      <c r="CD30" s="29"/>
      <c r="CE30" s="25"/>
      <c r="CF30" s="29"/>
      <c r="CG30" s="25"/>
      <c r="CH30" s="29"/>
      <c r="CI30" s="25"/>
      <c r="CJ30" s="29"/>
      <c r="CK30" s="25"/>
      <c r="CL30" s="29"/>
      <c r="CM30" s="25"/>
      <c r="CN30" s="29"/>
      <c r="CO30" s="25"/>
      <c r="CP30" s="29"/>
      <c r="CQ30" s="25"/>
      <c r="CR30" s="29"/>
      <c r="CS30" s="25"/>
      <c r="CT30" s="29"/>
      <c r="CU30" s="25"/>
      <c r="CV30" s="29"/>
      <c r="CW30" s="26"/>
      <c r="CX30" s="29"/>
      <c r="CZ30" s="29"/>
      <c r="DA30" s="25"/>
      <c r="DB30" s="29"/>
      <c r="DC30" s="78"/>
      <c r="DD30" s="29"/>
      <c r="DF30" s="29"/>
      <c r="DH30" s="29"/>
      <c r="DJ30" s="29"/>
      <c r="DL30" s="29"/>
      <c r="DN30" s="29"/>
      <c r="DP30" s="29"/>
      <c r="DR30" s="29"/>
      <c r="DT30" s="29"/>
      <c r="DV30" s="29"/>
      <c r="DX30" s="29"/>
      <c r="DZ30" s="29"/>
      <c r="EB30" s="29"/>
      <c r="ED30" s="29"/>
      <c r="EF30" s="29"/>
      <c r="EH30" s="29"/>
      <c r="EJ30" s="29"/>
      <c r="EL30" s="29"/>
      <c r="EN30" s="29"/>
      <c r="EP30" s="29"/>
      <c r="ER30" s="181"/>
      <c r="ET30" s="29"/>
      <c r="EV30" s="29"/>
      <c r="EX30" s="29"/>
      <c r="EZ30" s="31"/>
      <c r="FB30" s="29"/>
      <c r="FD30" s="29"/>
      <c r="FF30" s="29"/>
      <c r="FH30" s="29"/>
      <c r="FJ30" s="29"/>
      <c r="FL30" s="29"/>
      <c r="FN30" s="29"/>
      <c r="FP30" s="29"/>
      <c r="FR30" s="29"/>
      <c r="FT30" s="29"/>
      <c r="FV30" s="29"/>
      <c r="FX30" s="29"/>
      <c r="FZ30" s="29"/>
      <c r="GB30" s="29"/>
      <c r="GD30" s="29"/>
      <c r="GF30" s="29"/>
      <c r="GH30" s="29"/>
      <c r="GJ30" s="29"/>
      <c r="GL30" s="29"/>
      <c r="GN30" s="29"/>
      <c r="GP30" s="29"/>
      <c r="GR30" s="29"/>
      <c r="GT30" s="29"/>
      <c r="GV30" s="29"/>
    </row>
    <row r="31" spans="2:204">
      <c r="B31" s="26" t="s">
        <v>71</v>
      </c>
      <c r="C31" s="26"/>
      <c r="D31" s="29"/>
      <c r="E31" s="26"/>
      <c r="F31" s="29"/>
      <c r="G31" s="26"/>
      <c r="H31" s="29"/>
      <c r="I31" s="26"/>
      <c r="J31" s="29">
        <v>-7847056.3137247032</v>
      </c>
      <c r="K31" s="26"/>
      <c r="L31" s="29">
        <v>-21342261.681948382</v>
      </c>
      <c r="M31" s="26"/>
      <c r="N31" s="29">
        <v>-15953539.383871322</v>
      </c>
      <c r="O31" s="26"/>
      <c r="P31" s="29">
        <v>-11995044.387380168</v>
      </c>
      <c r="Q31" s="26"/>
      <c r="R31" s="29">
        <v>-8931514.3426295854</v>
      </c>
      <c r="S31" s="26"/>
      <c r="T31" s="29">
        <v>-13222712.118034443</v>
      </c>
      <c r="U31" s="26"/>
      <c r="V31" s="29">
        <v>-9415743.020816328</v>
      </c>
      <c r="W31" s="26"/>
      <c r="X31" s="29">
        <v>-5632133.1244242061</v>
      </c>
      <c r="Y31" s="26"/>
      <c r="Z31" s="29">
        <v>-4805350.6839962648</v>
      </c>
      <c r="AA31" s="26"/>
      <c r="AB31" s="29">
        <v>-1987715.3167574333</v>
      </c>
      <c r="AC31" s="26"/>
      <c r="AD31" s="29">
        <v>-1081113.0136209563</v>
      </c>
      <c r="AE31" s="26"/>
      <c r="AF31" s="29">
        <v>-629577.12221961236</v>
      </c>
      <c r="AG31" s="26"/>
      <c r="AH31" s="29">
        <v>-439321.09143842029</v>
      </c>
      <c r="AI31" s="26"/>
      <c r="AJ31" s="29">
        <v>-1837600.8336914817</v>
      </c>
      <c r="AK31" s="26"/>
      <c r="AL31" s="29">
        <v>-1293601.6081202165</v>
      </c>
      <c r="AM31" s="26"/>
      <c r="AN31" s="29">
        <v>-1467830.2349659451</v>
      </c>
      <c r="AO31" s="26"/>
      <c r="AP31" s="29">
        <v>-899759.81379151519</v>
      </c>
      <c r="AQ31" s="26"/>
      <c r="AR31" s="29">
        <v>-2283000.264666501</v>
      </c>
      <c r="AS31" s="26"/>
      <c r="AT31" s="29">
        <v>-1700352.1546664857</v>
      </c>
      <c r="AU31" s="26"/>
      <c r="AV31" s="29">
        <v>-1378879.8246664999</v>
      </c>
      <c r="AW31" s="26"/>
      <c r="AX31" s="29">
        <v>-707783.8936847375</v>
      </c>
      <c r="AY31" s="26"/>
      <c r="AZ31" s="29">
        <v>-2630812.2028199974</v>
      </c>
      <c r="BA31" s="26"/>
      <c r="BB31" s="29">
        <v>-2606677.5142415077</v>
      </c>
      <c r="BC31" s="26"/>
      <c r="BD31" s="29">
        <v>-2628297.623366165</v>
      </c>
      <c r="BE31" s="26"/>
      <c r="BF31" s="29">
        <v>-2135570.1433663126</v>
      </c>
      <c r="BG31" s="26"/>
      <c r="BH31" s="29">
        <v>-418633.00675833324</v>
      </c>
      <c r="BI31" s="26"/>
      <c r="BJ31" s="29">
        <v>-799537.54116124962</v>
      </c>
      <c r="BK31" s="26"/>
      <c r="BL31" s="29">
        <v>-1058365.6335750001</v>
      </c>
      <c r="BM31" s="26"/>
      <c r="BN31" s="29">
        <v>-1001986.8810395831</v>
      </c>
      <c r="BO31" s="26"/>
      <c r="BP31" s="29">
        <v>-176324.42465583325</v>
      </c>
      <c r="BQ31" s="26"/>
      <c r="BR31" s="29">
        <v>-111152.13970000001</v>
      </c>
      <c r="BS31" s="26"/>
      <c r="BT31" s="29">
        <v>93917.34</v>
      </c>
      <c r="BU31" s="26"/>
      <c r="BV31" s="29">
        <v>-869468.6399999999</v>
      </c>
      <c r="BW31" s="26"/>
      <c r="BX31" s="29">
        <v>-1008505.19</v>
      </c>
      <c r="BY31" s="26"/>
      <c r="BZ31" s="29">
        <v>-964088.65</v>
      </c>
      <c r="CA31" s="26"/>
      <c r="CB31" s="29">
        <v>-170698.33000000002</v>
      </c>
      <c r="CC31" s="26"/>
      <c r="CD31" s="29">
        <v>-84511.670000000013</v>
      </c>
      <c r="CE31" s="26"/>
      <c r="CF31" s="29">
        <v>303594.64</v>
      </c>
      <c r="CG31" s="26"/>
      <c r="CH31" s="29">
        <v>-107191.23</v>
      </c>
      <c r="CI31" s="26"/>
      <c r="CJ31" s="29">
        <v>1920.95</v>
      </c>
      <c r="CK31" s="26"/>
      <c r="CL31" s="29">
        <v>-1103178.5900000001</v>
      </c>
      <c r="CM31" s="26"/>
      <c r="CN31" s="29">
        <v>-185894.75010000041</v>
      </c>
      <c r="CO31" s="26"/>
      <c r="CP31" s="29">
        <v>61506.499999999993</v>
      </c>
      <c r="CQ31" s="26"/>
      <c r="CR31" s="29">
        <v>-160623.73010000039</v>
      </c>
      <c r="CS31" s="26"/>
      <c r="CT31" s="29">
        <v>-1515779.2870999952</v>
      </c>
      <c r="CU31" s="26"/>
      <c r="CV31" s="29">
        <v>-311639.44</v>
      </c>
      <c r="CW31" s="25"/>
      <c r="CX31" s="29">
        <v>-1395.7600000000002</v>
      </c>
      <c r="CZ31" s="29">
        <v>35700.460185158881</v>
      </c>
      <c r="DA31" s="26"/>
      <c r="DB31" s="29">
        <v>324235.47142916021</v>
      </c>
      <c r="DC31" s="75"/>
      <c r="DD31" s="29"/>
      <c r="DF31" s="29"/>
      <c r="DH31" s="29"/>
      <c r="DJ31" s="29">
        <f>J31</f>
        <v>-7847056.3137247032</v>
      </c>
      <c r="DL31" s="29">
        <f>L31-N31</f>
        <v>-5388722.2980770599</v>
      </c>
      <c r="DN31" s="29">
        <f>N31-P31</f>
        <v>-3958494.9964911547</v>
      </c>
      <c r="DP31" s="29">
        <f>P31-R31</f>
        <v>-3063530.0447505824</v>
      </c>
      <c r="DR31" s="29">
        <f>R31</f>
        <v>-8931514.3426295854</v>
      </c>
      <c r="DT31" s="29">
        <f t="shared" ref="DT31:DX31" si="48">T31-V31</f>
        <v>-3806969.0972181149</v>
      </c>
      <c r="DV31" s="29">
        <f t="shared" si="48"/>
        <v>-3783609.8963921219</v>
      </c>
      <c r="DX31" s="29">
        <f t="shared" si="48"/>
        <v>-826782.44042794127</v>
      </c>
      <c r="DZ31" s="29">
        <f>Z31</f>
        <v>-4805350.6839962648</v>
      </c>
      <c r="EB31" s="29">
        <f>AB31-AD31</f>
        <v>-906602.30313647701</v>
      </c>
      <c r="ED31" s="29">
        <f>AD31-AF31</f>
        <v>-451535.89140134398</v>
      </c>
      <c r="EF31" s="29">
        <f>AF31-AH31</f>
        <v>-190256.03078119206</v>
      </c>
      <c r="EH31" s="29">
        <f>AH31</f>
        <v>-439321.09143842029</v>
      </c>
      <c r="EJ31" s="29">
        <f>AJ31-AL31</f>
        <v>-543999.22557126521</v>
      </c>
      <c r="EL31" s="29">
        <f>AL31-AN31</f>
        <v>174228.62684572861</v>
      </c>
      <c r="EN31" s="29">
        <f t="shared" ref="EN31" si="49">AN31-AP31</f>
        <v>-568070.42117442994</v>
      </c>
      <c r="EP31" s="29">
        <f t="shared" ref="EP31" si="50">AP31</f>
        <v>-899759.81379151519</v>
      </c>
      <c r="ER31" s="29">
        <f>AR31-AT31</f>
        <v>-582648.11000001524</v>
      </c>
      <c r="ET31" s="29">
        <f>AT31-AV31</f>
        <v>-321472.32999998587</v>
      </c>
      <c r="EV31" s="29">
        <f>AV31-AX31</f>
        <v>-671095.93098176236</v>
      </c>
      <c r="EX31" s="29">
        <f>AX31</f>
        <v>-707783.8936847375</v>
      </c>
      <c r="EZ31" s="29">
        <f>AZ31-BB31</f>
        <v>-24134.688578489702</v>
      </c>
      <c r="FB31" s="29">
        <f>BB31-BD31</f>
        <v>21620.109124657232</v>
      </c>
      <c r="FD31" s="29">
        <f>BD31-BF31</f>
        <v>-492727.47999985237</v>
      </c>
      <c r="FF31" s="29">
        <f>BF31</f>
        <v>-2135570.1433663126</v>
      </c>
      <c r="FH31" s="29">
        <v>-56267.505597083538</v>
      </c>
      <c r="FJ31" s="29">
        <f>BJ31-BL31</f>
        <v>258828.09241375048</v>
      </c>
      <c r="FL31" s="29">
        <f>BL31-BN31</f>
        <v>-56378.752535416977</v>
      </c>
      <c r="FN31" s="29">
        <f>BN31-BP31</f>
        <v>-825662.45638374984</v>
      </c>
      <c r="FP31" s="29">
        <f>BP31-BR31</f>
        <v>-65172.284955833238</v>
      </c>
      <c r="FR31" s="29">
        <f>BR31-BT31</f>
        <v>-205069.47970000003</v>
      </c>
      <c r="FT31" s="29">
        <f>BT31</f>
        <v>93917.34</v>
      </c>
      <c r="FV31" s="29">
        <f>BV31-BX31</f>
        <v>139036.55000000005</v>
      </c>
      <c r="FX31" s="29">
        <f>BX31-BZ31</f>
        <v>-44416.539999999921</v>
      </c>
      <c r="FZ31" s="29">
        <f>BZ31-CB31</f>
        <v>-793390.32000000007</v>
      </c>
      <c r="GB31" s="29">
        <f>CB31</f>
        <v>-170698.33000000002</v>
      </c>
      <c r="GD31" s="29">
        <f>CD31-CF31</f>
        <v>-388106.31000000006</v>
      </c>
      <c r="GF31" s="29">
        <f>CF31-CH31</f>
        <v>410785.87</v>
      </c>
      <c r="GH31" s="29">
        <f>CH31-CJ31</f>
        <v>-109112.18</v>
      </c>
      <c r="GJ31" s="29">
        <f>CJ31</f>
        <v>1920.95</v>
      </c>
      <c r="GL31" s="29">
        <f>CL31-CN31</f>
        <v>-917283.83989999967</v>
      </c>
      <c r="GN31" s="29">
        <f>CN31-CP31</f>
        <v>-247401.25010000041</v>
      </c>
      <c r="GP31" s="29">
        <f>CP31-CR31</f>
        <v>222130.23010000039</v>
      </c>
      <c r="GR31" s="29">
        <f>CR31</f>
        <v>-160623.73010000039</v>
      </c>
      <c r="GT31" s="29">
        <f>CT31-CV31</f>
        <v>-1204139.8470999952</v>
      </c>
      <c r="GV31" s="29">
        <f>CV31-CX31</f>
        <v>-310243.68</v>
      </c>
    </row>
    <row r="32" spans="2:204">
      <c r="B32" s="26"/>
      <c r="C32" s="26"/>
      <c r="D32" s="32"/>
      <c r="E32" s="26"/>
      <c r="F32" s="32"/>
      <c r="G32" s="26"/>
      <c r="H32" s="32"/>
      <c r="I32" s="26"/>
      <c r="J32" s="32"/>
      <c r="K32" s="26"/>
      <c r="L32" s="32"/>
      <c r="M32" s="26"/>
      <c r="N32" s="32"/>
      <c r="O32" s="26"/>
      <c r="P32" s="32"/>
      <c r="Q32" s="26"/>
      <c r="R32" s="32"/>
      <c r="S32" s="26"/>
      <c r="T32" s="32"/>
      <c r="U32" s="26"/>
      <c r="V32" s="32"/>
      <c r="W32" s="26"/>
      <c r="X32" s="32"/>
      <c r="Y32" s="26"/>
      <c r="Z32" s="32"/>
      <c r="AA32" s="26"/>
      <c r="AB32" s="32"/>
      <c r="AC32" s="26"/>
      <c r="AD32" s="32"/>
      <c r="AE32" s="26"/>
      <c r="AF32" s="32"/>
      <c r="AG32" s="26"/>
      <c r="AH32" s="32"/>
      <c r="AI32" s="26"/>
      <c r="AJ32" s="32"/>
      <c r="AK32" s="26"/>
      <c r="AL32" s="32"/>
      <c r="AM32" s="26"/>
      <c r="AN32" s="32"/>
      <c r="AO32" s="26"/>
      <c r="AP32" s="32"/>
      <c r="AQ32" s="26"/>
      <c r="AR32" s="32"/>
      <c r="AS32" s="26"/>
      <c r="AT32" s="32"/>
      <c r="AU32" s="26"/>
      <c r="AV32" s="32"/>
      <c r="AW32" s="26"/>
      <c r="AX32" s="32"/>
      <c r="AY32" s="26"/>
      <c r="AZ32" s="32"/>
      <c r="BA32" s="26"/>
      <c r="BB32" s="32"/>
      <c r="BC32" s="26"/>
      <c r="BD32" s="32"/>
      <c r="BE32" s="26"/>
      <c r="BF32" s="32"/>
      <c r="BG32" s="26"/>
      <c r="BH32" s="32"/>
      <c r="BI32" s="26"/>
      <c r="BJ32" s="32"/>
      <c r="BK32" s="26"/>
      <c r="BL32" s="32"/>
      <c r="BM32" s="26"/>
      <c r="BN32" s="32"/>
      <c r="BO32" s="26"/>
      <c r="BP32" s="32"/>
      <c r="BQ32" s="26"/>
      <c r="BR32" s="32"/>
      <c r="BS32" s="26"/>
      <c r="BT32" s="32"/>
      <c r="BU32" s="26"/>
      <c r="BV32" s="32"/>
      <c r="BW32" s="26"/>
      <c r="BX32" s="32"/>
      <c r="BY32" s="26"/>
      <c r="BZ32" s="32"/>
      <c r="CA32" s="26"/>
      <c r="CB32" s="32"/>
      <c r="CC32" s="26"/>
      <c r="CD32" s="32"/>
      <c r="CE32" s="26"/>
      <c r="CF32" s="32"/>
      <c r="CG32" s="26"/>
      <c r="CH32" s="32"/>
      <c r="CI32" s="26"/>
      <c r="CJ32" s="32"/>
      <c r="CK32" s="26"/>
      <c r="CL32" s="32"/>
      <c r="CM32" s="26"/>
      <c r="CN32" s="32"/>
      <c r="CO32" s="26"/>
      <c r="CP32" s="32"/>
      <c r="CQ32" s="26"/>
      <c r="CR32" s="32"/>
      <c r="CS32" s="26"/>
      <c r="CT32" s="32"/>
      <c r="CU32" s="26"/>
      <c r="CV32" s="32"/>
      <c r="CW32" s="26"/>
      <c r="CX32" s="32"/>
      <c r="CZ32" s="32"/>
      <c r="DA32" s="26"/>
      <c r="DB32" s="32"/>
      <c r="DC32" s="75"/>
      <c r="DD32" s="32"/>
      <c r="DF32" s="32"/>
      <c r="DH32" s="32"/>
      <c r="DJ32" s="32"/>
      <c r="DL32" s="32"/>
      <c r="DN32" s="32"/>
      <c r="DP32" s="32"/>
      <c r="DR32" s="32"/>
      <c r="DT32" s="32"/>
      <c r="DV32" s="32"/>
      <c r="DX32" s="32"/>
      <c r="DZ32" s="32"/>
      <c r="EB32" s="32"/>
      <c r="ED32" s="32"/>
      <c r="EF32" s="32"/>
      <c r="EH32" s="32"/>
      <c r="EJ32" s="32"/>
      <c r="EL32" s="32"/>
      <c r="EN32" s="32"/>
      <c r="EP32" s="32"/>
      <c r="ER32" s="32"/>
      <c r="ET32" s="32"/>
      <c r="EV32" s="32"/>
      <c r="EX32" s="32"/>
      <c r="EZ32" s="32"/>
      <c r="FB32" s="32"/>
      <c r="FD32" s="32"/>
      <c r="FF32" s="32"/>
      <c r="FH32" s="32"/>
      <c r="FJ32" s="32"/>
      <c r="FL32" s="32"/>
      <c r="FN32" s="32"/>
      <c r="FP32" s="32"/>
      <c r="FR32" s="32"/>
      <c r="FT32" s="32"/>
      <c r="FV32" s="32"/>
      <c r="FX32" s="32"/>
      <c r="FZ32" s="32"/>
      <c r="GB32" s="32"/>
      <c r="GD32" s="32"/>
      <c r="GF32" s="32"/>
      <c r="GH32" s="32"/>
      <c r="GJ32" s="32"/>
      <c r="GL32" s="32"/>
      <c r="GN32" s="32"/>
      <c r="GP32" s="32"/>
      <c r="GR32" s="32"/>
      <c r="GT32" s="32"/>
      <c r="GV32" s="32"/>
    </row>
    <row r="33" spans="2:204">
      <c r="B33" s="25" t="s">
        <v>72</v>
      </c>
      <c r="C33" s="25"/>
      <c r="D33" s="31"/>
      <c r="E33" s="25"/>
      <c r="F33" s="31"/>
      <c r="G33" s="25"/>
      <c r="H33" s="31"/>
      <c r="I33" s="25"/>
      <c r="J33" s="31">
        <f>J29+J31</f>
        <v>33128644.661439046</v>
      </c>
      <c r="K33" s="25"/>
      <c r="L33" s="31">
        <f>L29+L31</f>
        <v>82565913.538891464</v>
      </c>
      <c r="M33" s="25"/>
      <c r="N33" s="31">
        <f>N29+N31</f>
        <v>63648250.285388507</v>
      </c>
      <c r="O33" s="25"/>
      <c r="P33" s="31">
        <f>P29+P31</f>
        <v>46903424.102619842</v>
      </c>
      <c r="Q33" s="25"/>
      <c r="R33" s="31">
        <f>R29+R31</f>
        <v>34668952.07328485</v>
      </c>
      <c r="S33" s="25"/>
      <c r="T33" s="31">
        <f>T29+T31</f>
        <v>52452190.688257925</v>
      </c>
      <c r="U33" s="25"/>
      <c r="V33" s="31">
        <f>V29+V31</f>
        <v>36628233.758489162</v>
      </c>
      <c r="W33" s="25"/>
      <c r="X33" s="31">
        <f>X29+X31</f>
        <v>23112980.901688784</v>
      </c>
      <c r="Y33" s="25"/>
      <c r="Z33" s="31">
        <f>Z29+Z31</f>
        <v>19084171.855803143</v>
      </c>
      <c r="AA33" s="25"/>
      <c r="AB33" s="31">
        <f>AB29+AB31</f>
        <v>10301206.369358443</v>
      </c>
      <c r="AC33" s="25"/>
      <c r="AD33" s="31">
        <f>AD29+AD31</f>
        <v>8048691.7190114781</v>
      </c>
      <c r="AE33" s="25"/>
      <c r="AF33" s="31">
        <f>AF29+AF31</f>
        <v>7701434.8995795436</v>
      </c>
      <c r="AG33" s="25"/>
      <c r="AH33" s="31">
        <f>AH29+AH31</f>
        <v>1779503.7167624568</v>
      </c>
      <c r="AI33" s="25"/>
      <c r="AJ33" s="31">
        <f>AJ29+AJ31</f>
        <v>8383810.8793085068</v>
      </c>
      <c r="AK33" s="25"/>
      <c r="AL33" s="31">
        <f>AL29+AL31</f>
        <v>5213721.6387859434</v>
      </c>
      <c r="AM33" s="25"/>
      <c r="AN33" s="31">
        <f>AN29+AN31</f>
        <v>5578537.7188451923</v>
      </c>
      <c r="AO33" s="25"/>
      <c r="AP33" s="31">
        <f>AP29+AP31</f>
        <v>3586190.5115086436</v>
      </c>
      <c r="AQ33" s="25"/>
      <c r="AR33" s="31">
        <f>AR29+AR31</f>
        <v>8810134.0960014779</v>
      </c>
      <c r="AS33" s="25"/>
      <c r="AT33" s="31">
        <f>AT29+AT31</f>
        <v>5954772.65289714</v>
      </c>
      <c r="AU33" s="25"/>
      <c r="AV33" s="31">
        <f>AV29+AV31</f>
        <v>4794654.4306888524</v>
      </c>
      <c r="AW33" s="25"/>
      <c r="AX33" s="31">
        <f>AX29+AX31</f>
        <v>2464786.1656587487</v>
      </c>
      <c r="AY33" s="25"/>
      <c r="AZ33" s="31">
        <f>AZ29+AZ31</f>
        <v>9136295.0251800213</v>
      </c>
      <c r="BA33" s="25"/>
      <c r="BB33" s="31">
        <f>BB29+BB31</f>
        <v>9149331.9042584989</v>
      </c>
      <c r="BC33" s="25"/>
      <c r="BD33" s="31">
        <f>BD29+BD31</f>
        <v>9063929.0360267647</v>
      </c>
      <c r="BE33" s="25"/>
      <c r="BF33" s="31">
        <f>BF29+BF31</f>
        <v>8130412.9565266129</v>
      </c>
      <c r="BG33" s="25"/>
      <c r="BH33" s="31">
        <f>BH29+BH31</f>
        <v>10293436.725174977</v>
      </c>
      <c r="BI33" s="25"/>
      <c r="BJ33" s="31">
        <f>BJ29+BJ31</f>
        <v>13118604.878813762</v>
      </c>
      <c r="BK33" s="25"/>
      <c r="BL33" s="31">
        <f>BL29+BL31</f>
        <v>11499388.168924995</v>
      </c>
      <c r="BM33" s="25"/>
      <c r="BN33" s="31">
        <f>BN29+BN31</f>
        <v>4085133.8591687502</v>
      </c>
      <c r="BO33" s="25"/>
      <c r="BP33" s="31">
        <f>BP29+BP31</f>
        <v>971657.96142750257</v>
      </c>
      <c r="BQ33" s="25"/>
      <c r="BR33" s="31">
        <f>BR29+BR31</f>
        <v>485514.17029999924</v>
      </c>
      <c r="BS33" s="25"/>
      <c r="BT33" s="31">
        <f>BT29+BT31</f>
        <v>256207.90999999861</v>
      </c>
      <c r="BU33" s="25"/>
      <c r="BV33" s="31">
        <f>BV29+BV31</f>
        <v>1082067.3649999946</v>
      </c>
      <c r="BW33" s="25"/>
      <c r="BX33" s="31">
        <f>BX29+BX31</f>
        <v>-175994.87000000081</v>
      </c>
      <c r="BY33" s="25"/>
      <c r="BZ33" s="31">
        <f>BZ29+BZ31</f>
        <v>-570915.78999999911</v>
      </c>
      <c r="CA33" s="25"/>
      <c r="CB33" s="31">
        <f>CB29+CB31</f>
        <v>-270101.15999999922</v>
      </c>
      <c r="CC33" s="25"/>
      <c r="CD33" s="31">
        <f>CD29+CD31</f>
        <v>-1265186.4699999862</v>
      </c>
      <c r="CE33" s="25"/>
      <c r="CF33" s="31">
        <f>CF29+CF31</f>
        <v>-1469911.4000000041</v>
      </c>
      <c r="CG33" s="25"/>
      <c r="CH33" s="31">
        <f>CH29+CH31</f>
        <v>-3921620.290000001</v>
      </c>
      <c r="CI33" s="25"/>
      <c r="CJ33" s="31">
        <f>CJ29+CJ31</f>
        <v>-1024136.3399999972</v>
      </c>
      <c r="CK33" s="25"/>
      <c r="CL33" s="31">
        <f>CL29+CL31</f>
        <v>3084630.899999992</v>
      </c>
      <c r="CM33" s="25"/>
      <c r="CN33" s="31">
        <f>CN29+CN31</f>
        <v>1973248.1783523778</v>
      </c>
      <c r="CO33" s="25"/>
      <c r="CP33" s="31">
        <f>CP29+CP31</f>
        <v>1126058.2930284033</v>
      </c>
      <c r="CQ33" s="25"/>
      <c r="CR33" s="31">
        <f>CR29+CR31</f>
        <v>77232.492956410832</v>
      </c>
      <c r="CS33" s="25"/>
      <c r="CT33" s="31">
        <f>CT29+CT31</f>
        <v>7693675.1700698342</v>
      </c>
      <c r="CU33" s="25"/>
      <c r="CV33" s="31">
        <f>CV29+CV31</f>
        <v>3697195.398929155</v>
      </c>
      <c r="CW33" s="25"/>
      <c r="CX33" s="31">
        <f>CX29+CX31</f>
        <v>838314.36118960846</v>
      </c>
      <c r="CZ33" s="31">
        <f>CZ29+CZ31</f>
        <v>-973346.29492694698</v>
      </c>
      <c r="DA33" s="25"/>
      <c r="DB33" s="31">
        <f>DB29+DB31</f>
        <v>-1366321.5785708474</v>
      </c>
      <c r="DC33" s="78"/>
      <c r="DD33" s="31"/>
      <c r="DF33" s="31"/>
      <c r="DH33" s="31"/>
      <c r="DJ33" s="31">
        <f>DJ29+DJ31</f>
        <v>33128644.661439046</v>
      </c>
      <c r="DL33" s="31">
        <f>DL29+DL31</f>
        <v>18917663.253502972</v>
      </c>
      <c r="DN33" s="31">
        <f>DN29+DN31</f>
        <v>16744826.182768689</v>
      </c>
      <c r="DP33" s="31">
        <f>DP29+DP31</f>
        <v>12234472.029334981</v>
      </c>
      <c r="DR33" s="31">
        <f>DR29+DR31</f>
        <v>34668952.07328485</v>
      </c>
      <c r="DT33" s="31">
        <f>DT29+DT31</f>
        <v>15823956.929768771</v>
      </c>
      <c r="DV33" s="31">
        <f>DV29+DV31</f>
        <v>13515252.856800385</v>
      </c>
      <c r="DX33" s="31">
        <f>DX29+DX31</f>
        <v>4028809.0458856476</v>
      </c>
      <c r="DZ33" s="31">
        <f>DZ29+DZ31</f>
        <v>19084171.855803143</v>
      </c>
      <c r="EB33" s="31">
        <f>EB29+EB31</f>
        <v>2252514.6503469422</v>
      </c>
      <c r="ED33" s="31">
        <f>ED29+ED31</f>
        <v>347256.81943194859</v>
      </c>
      <c r="EF33" s="31">
        <f>EF29+EF31</f>
        <v>5921931.1828170819</v>
      </c>
      <c r="EH33" s="31">
        <f>EH29+EH31</f>
        <v>1779503.7167624568</v>
      </c>
      <c r="EJ33" s="31">
        <f>EJ29+EJ31</f>
        <v>3170089.2405225644</v>
      </c>
      <c r="EL33" s="31">
        <f>EL29+EL31</f>
        <v>-364816.0800592493</v>
      </c>
      <c r="EN33" s="31">
        <f>EN29+EN31</f>
        <v>1992347.2073365441</v>
      </c>
      <c r="EP33" s="31">
        <f>EP29+EP31</f>
        <v>3586190.5115086436</v>
      </c>
      <c r="ER33" s="31">
        <f>ER29+ER31</f>
        <v>2855361.4431043412</v>
      </c>
      <c r="ET33" s="31">
        <f>ET29+ET31</f>
        <v>1160118.2222082801</v>
      </c>
      <c r="EV33" s="31">
        <f>EV29+EV31</f>
        <v>2329868.2650301126</v>
      </c>
      <c r="EX33" s="31">
        <f>EX29+EX31</f>
        <v>2464786.1656587487</v>
      </c>
      <c r="EZ33" s="31">
        <f>EZ29+EZ31</f>
        <v>-13036.879078497106</v>
      </c>
      <c r="FB33" s="31">
        <f>FB29+FB31</f>
        <v>85402.868231731351</v>
      </c>
      <c r="FD33" s="31">
        <f>FD29+FD31</f>
        <v>933516.07950016274</v>
      </c>
      <c r="FF33" s="31">
        <f>FF29+FF31</f>
        <v>8130412.9565266129</v>
      </c>
      <c r="FH33" s="31">
        <f>FH29+FH31</f>
        <v>-961430.27363877674</v>
      </c>
      <c r="FJ33" s="31">
        <f>FJ29+FJ31</f>
        <v>1619216.7098887777</v>
      </c>
      <c r="FL33" s="31">
        <f>FL29+FL31</f>
        <v>7414254.3097562362</v>
      </c>
      <c r="FN33" s="31">
        <f>FN29+FN31</f>
        <v>3113475.8977412446</v>
      </c>
      <c r="FP33" s="31">
        <f>FP29+FP31</f>
        <v>486143.79112749966</v>
      </c>
      <c r="FR33" s="31">
        <f>FR29+FR31</f>
        <v>229306.26029999787</v>
      </c>
      <c r="FT33" s="31">
        <f>FT29+FT31</f>
        <v>256207.90999999861</v>
      </c>
      <c r="FV33" s="31">
        <f>FV29+FV31</f>
        <v>1258062.2349999973</v>
      </c>
      <c r="FX33" s="31">
        <f>FX29+FX31</f>
        <v>394920.91999999812</v>
      </c>
      <c r="FZ33" s="31">
        <f>FZ29+FZ31</f>
        <v>-300814.62999999797</v>
      </c>
      <c r="GB33" s="31">
        <f>GB29+GB31</f>
        <v>-270101.15999999922</v>
      </c>
      <c r="GD33" s="31">
        <f>GD29+GD31</f>
        <v>204724.9300000103</v>
      </c>
      <c r="GF33" s="31">
        <f>GF29+GF31</f>
        <v>2451708.8899999931</v>
      </c>
      <c r="GH33" s="31">
        <f>GH29+GH31</f>
        <v>-2897483.950000003</v>
      </c>
      <c r="GJ33" s="31">
        <f>GJ29+GJ31</f>
        <v>-1024136.3399999972</v>
      </c>
      <c r="GL33" s="31">
        <f>GL29+GL31</f>
        <v>1111382.7216476225</v>
      </c>
      <c r="GN33" s="31">
        <f>GN29+GN31</f>
        <v>847189.88532396697</v>
      </c>
      <c r="GP33" s="31">
        <f>GP29+GP31</f>
        <v>1048825.800071998</v>
      </c>
      <c r="GR33" s="31">
        <f>GR29+GR31</f>
        <v>77232.492956410832</v>
      </c>
      <c r="GT33" s="31">
        <f>GT29+GT31</f>
        <v>3996479.7711406751</v>
      </c>
      <c r="GV33" s="31">
        <f>GV29+GV31</f>
        <v>2858881.037739553</v>
      </c>
    </row>
    <row r="34" spans="2:204">
      <c r="B34" s="26"/>
      <c r="C34" s="26"/>
      <c r="D34" s="29"/>
      <c r="E34" s="26"/>
      <c r="F34" s="29"/>
      <c r="G34" s="26"/>
      <c r="H34" s="29"/>
      <c r="I34" s="26"/>
      <c r="J34" s="29"/>
      <c r="K34" s="26"/>
      <c r="L34" s="29"/>
      <c r="M34" s="26"/>
      <c r="N34" s="29"/>
      <c r="O34" s="26"/>
      <c r="P34" s="29"/>
      <c r="Q34" s="26"/>
      <c r="R34" s="29"/>
      <c r="S34" s="26"/>
      <c r="T34" s="29"/>
      <c r="U34" s="26"/>
      <c r="V34" s="29"/>
      <c r="W34" s="26"/>
      <c r="X34" s="29"/>
      <c r="Y34" s="26"/>
      <c r="Z34" s="29"/>
      <c r="AA34" s="26"/>
      <c r="AB34" s="29"/>
      <c r="AC34" s="26"/>
      <c r="AD34" s="29"/>
      <c r="AE34" s="26"/>
      <c r="AF34" s="29"/>
      <c r="AG34" s="26"/>
      <c r="AH34" s="29"/>
      <c r="AI34" s="26"/>
      <c r="AJ34" s="29"/>
      <c r="AK34" s="26"/>
      <c r="AL34" s="29"/>
      <c r="AM34" s="26"/>
      <c r="AN34" s="29"/>
      <c r="AO34" s="26"/>
      <c r="AP34" s="29"/>
      <c r="AQ34" s="26"/>
      <c r="AR34" s="29"/>
      <c r="AS34" s="26"/>
      <c r="AT34" s="29"/>
      <c r="AU34" s="26"/>
      <c r="AV34" s="29"/>
      <c r="AW34" s="26"/>
      <c r="AX34" s="29"/>
      <c r="AY34" s="26"/>
      <c r="AZ34" s="29"/>
      <c r="BA34" s="26"/>
      <c r="BB34" s="29"/>
      <c r="BC34" s="26"/>
      <c r="BD34" s="29"/>
      <c r="BE34" s="26"/>
      <c r="BF34" s="29"/>
      <c r="BG34" s="26"/>
      <c r="BH34" s="29"/>
      <c r="BI34" s="26"/>
      <c r="BJ34" s="29"/>
      <c r="BK34" s="26"/>
      <c r="BL34" s="29"/>
      <c r="BM34" s="26"/>
      <c r="BN34" s="29"/>
      <c r="BO34" s="26"/>
      <c r="BP34" s="29"/>
      <c r="BQ34" s="26"/>
      <c r="BR34" s="29"/>
      <c r="BS34" s="26"/>
      <c r="BT34" s="29"/>
      <c r="BU34" s="26"/>
      <c r="BV34" s="29"/>
      <c r="BW34" s="26"/>
      <c r="BX34" s="29"/>
      <c r="BY34" s="26"/>
      <c r="BZ34" s="29"/>
      <c r="CA34" s="26"/>
      <c r="CB34" s="29"/>
      <c r="CC34" s="26"/>
      <c r="CD34" s="29"/>
      <c r="CE34" s="26"/>
      <c r="CF34" s="29"/>
      <c r="CG34" s="26"/>
      <c r="CH34" s="29"/>
      <c r="CI34" s="26"/>
      <c r="CJ34" s="29"/>
      <c r="CK34" s="26"/>
      <c r="CL34" s="29"/>
      <c r="CM34" s="26"/>
      <c r="CN34" s="29"/>
      <c r="CO34" s="26"/>
      <c r="CP34" s="29"/>
      <c r="CQ34" s="26"/>
      <c r="CR34" s="29"/>
      <c r="CS34" s="26"/>
      <c r="CT34" s="29"/>
      <c r="CU34" s="26"/>
      <c r="CV34" s="29"/>
      <c r="CW34" s="8"/>
      <c r="CX34" s="29"/>
      <c r="CZ34" s="29"/>
      <c r="DA34" s="26"/>
      <c r="DB34" s="29"/>
      <c r="DC34" s="75"/>
      <c r="DD34" s="29"/>
      <c r="DF34" s="29"/>
      <c r="DH34" s="29"/>
      <c r="DJ34" s="29"/>
      <c r="DL34" s="29"/>
      <c r="DN34" s="29"/>
      <c r="DP34" s="29"/>
      <c r="DR34" s="29"/>
      <c r="DT34" s="29"/>
      <c r="DV34" s="29"/>
      <c r="DX34" s="29"/>
      <c r="DZ34" s="29"/>
      <c r="EB34" s="29"/>
      <c r="ED34" s="29"/>
      <c r="EF34" s="29"/>
      <c r="EH34" s="29"/>
      <c r="EJ34" s="29"/>
      <c r="EL34" s="29"/>
      <c r="EN34" s="29"/>
      <c r="EP34" s="29"/>
      <c r="ER34" s="29"/>
      <c r="ET34" s="29"/>
      <c r="EV34" s="29"/>
      <c r="EX34" s="29"/>
      <c r="EZ34" s="29"/>
      <c r="FB34" s="29"/>
      <c r="FD34" s="29"/>
      <c r="FF34" s="29"/>
      <c r="FH34" s="29"/>
      <c r="FJ34" s="29"/>
      <c r="FL34" s="29"/>
      <c r="FN34" s="29"/>
      <c r="FP34" s="29"/>
      <c r="FR34" s="29"/>
      <c r="FT34" s="29"/>
      <c r="FV34" s="29"/>
      <c r="FX34" s="29"/>
      <c r="FZ34" s="29"/>
      <c r="GB34" s="29"/>
      <c r="GD34" s="29"/>
      <c r="GF34" s="29"/>
      <c r="GH34" s="29"/>
      <c r="GJ34" s="29"/>
      <c r="GL34" s="29"/>
      <c r="GN34" s="29"/>
      <c r="GP34" s="29"/>
      <c r="GR34" s="29"/>
      <c r="GT34" s="29"/>
      <c r="GV34" s="29"/>
    </row>
    <row r="35" spans="2:204">
      <c r="B35" s="25" t="s">
        <v>73</v>
      </c>
      <c r="C35" s="25"/>
      <c r="D35" s="29"/>
      <c r="E35" s="25"/>
      <c r="F35" s="29"/>
      <c r="G35" s="25"/>
      <c r="H35" s="29"/>
      <c r="I35" s="25"/>
      <c r="J35" s="29"/>
      <c r="K35" s="25"/>
      <c r="L35" s="29"/>
      <c r="M35" s="25"/>
      <c r="N35" s="29"/>
      <c r="O35" s="25"/>
      <c r="P35" s="29"/>
      <c r="Q35" s="25"/>
      <c r="R35" s="29"/>
      <c r="S35" s="25"/>
      <c r="T35" s="29"/>
      <c r="U35" s="25"/>
      <c r="V35" s="29"/>
      <c r="W35" s="25"/>
      <c r="X35" s="29"/>
      <c r="Y35" s="25"/>
      <c r="Z35" s="29"/>
      <c r="AA35" s="25"/>
      <c r="AB35" s="29"/>
      <c r="AC35" s="25"/>
      <c r="AD35" s="29"/>
      <c r="AE35" s="25"/>
      <c r="AF35" s="29"/>
      <c r="AG35" s="25"/>
      <c r="AH35" s="29"/>
      <c r="AI35" s="25"/>
      <c r="AJ35" s="29"/>
      <c r="AK35" s="25"/>
      <c r="AL35" s="29"/>
      <c r="AM35" s="25"/>
      <c r="AN35" s="29"/>
      <c r="AO35" s="25"/>
      <c r="AP35" s="29"/>
      <c r="AQ35" s="25"/>
      <c r="AR35" s="29"/>
      <c r="AS35" s="25"/>
      <c r="AT35" s="29"/>
      <c r="AU35" s="25"/>
      <c r="AV35" s="29"/>
      <c r="AW35" s="25"/>
      <c r="AX35" s="29"/>
      <c r="AY35" s="25"/>
      <c r="AZ35" s="29"/>
      <c r="BA35" s="25"/>
      <c r="BB35" s="29"/>
      <c r="BC35" s="25"/>
      <c r="BD35" s="29"/>
      <c r="BE35" s="25"/>
      <c r="BF35" s="29"/>
      <c r="BG35" s="25"/>
      <c r="BH35" s="29"/>
      <c r="BI35" s="25"/>
      <c r="BJ35" s="29"/>
      <c r="BK35" s="25"/>
      <c r="BL35" s="29"/>
      <c r="BM35" s="25"/>
      <c r="BN35" s="29"/>
      <c r="BO35" s="25"/>
      <c r="BP35" s="29"/>
      <c r="BQ35" s="25"/>
      <c r="BR35" s="29"/>
      <c r="BS35" s="25"/>
      <c r="BT35" s="29"/>
      <c r="BU35" s="25"/>
      <c r="BV35" s="29"/>
      <c r="BW35" s="25"/>
      <c r="BX35" s="29"/>
      <c r="BY35" s="25"/>
      <c r="BZ35" s="29"/>
      <c r="CA35" s="25"/>
      <c r="CB35" s="29"/>
      <c r="CC35" s="25"/>
      <c r="CD35" s="29"/>
      <c r="CE35" s="25"/>
      <c r="CF35" s="29"/>
      <c r="CG35" s="25"/>
      <c r="CH35" s="29"/>
      <c r="CI35" s="25"/>
      <c r="CJ35" s="29"/>
      <c r="CK35" s="25"/>
      <c r="CL35" s="29"/>
      <c r="CM35" s="25"/>
      <c r="CN35" s="29"/>
      <c r="CO35" s="25"/>
      <c r="CP35" s="29"/>
      <c r="CQ35" s="25"/>
      <c r="CR35" s="29"/>
      <c r="CS35" s="25"/>
      <c r="CT35" s="29"/>
      <c r="CU35" s="25"/>
      <c r="CV35" s="29"/>
      <c r="CW35" s="8"/>
      <c r="CX35" s="29"/>
      <c r="CZ35" s="29"/>
      <c r="DA35" s="25"/>
      <c r="DB35" s="29"/>
      <c r="DC35" s="78"/>
      <c r="DD35" s="29"/>
      <c r="DF35" s="29"/>
      <c r="DH35" s="29"/>
      <c r="DJ35" s="29"/>
      <c r="DL35" s="29"/>
      <c r="DN35" s="29"/>
      <c r="DP35" s="29"/>
      <c r="DR35" s="29"/>
      <c r="DT35" s="29"/>
      <c r="DV35" s="29"/>
      <c r="DX35" s="29"/>
      <c r="DZ35" s="29"/>
      <c r="EB35" s="29"/>
      <c r="ED35" s="29"/>
      <c r="EF35" s="29"/>
      <c r="EH35" s="29"/>
      <c r="EJ35" s="29"/>
      <c r="EL35" s="29"/>
      <c r="EN35" s="29"/>
      <c r="EP35" s="29"/>
      <c r="ER35" s="29"/>
      <c r="ET35" s="29"/>
      <c r="EV35" s="29"/>
      <c r="EX35" s="29"/>
      <c r="EZ35" s="29"/>
      <c r="FB35" s="29"/>
      <c r="FD35" s="29"/>
      <c r="FF35" s="29"/>
      <c r="FH35" s="29"/>
      <c r="FJ35" s="29"/>
      <c r="FL35" s="29"/>
      <c r="FN35" s="29"/>
      <c r="FP35" s="29"/>
      <c r="FR35" s="29"/>
      <c r="FT35" s="29"/>
      <c r="FV35" s="29"/>
      <c r="FX35" s="29"/>
      <c r="FZ35" s="29"/>
      <c r="GB35" s="29"/>
      <c r="GD35" s="29"/>
      <c r="GF35" s="29"/>
      <c r="GH35" s="29"/>
      <c r="GJ35" s="29"/>
      <c r="GL35" s="29"/>
      <c r="GN35" s="29"/>
      <c r="GP35" s="29"/>
      <c r="GR35" s="29"/>
      <c r="GT35" s="29"/>
      <c r="GV35" s="29"/>
    </row>
    <row r="36" spans="2:204">
      <c r="B36" s="26" t="s">
        <v>74</v>
      </c>
      <c r="C36" s="26"/>
      <c r="D36" s="29"/>
      <c r="E36" s="26"/>
      <c r="F36" s="29"/>
      <c r="G36" s="26"/>
      <c r="H36" s="29"/>
      <c r="I36" s="26"/>
      <c r="J36" s="29"/>
      <c r="K36" s="26"/>
      <c r="L36" s="29"/>
      <c r="M36" s="26"/>
      <c r="N36" s="29"/>
      <c r="O36" s="26"/>
      <c r="P36" s="29"/>
      <c r="Q36" s="26"/>
      <c r="R36" s="29"/>
      <c r="S36" s="26"/>
      <c r="T36" s="29"/>
      <c r="U36" s="26"/>
      <c r="V36" s="29"/>
      <c r="W36" s="26"/>
      <c r="X36" s="29"/>
      <c r="Y36" s="26"/>
      <c r="Z36" s="29"/>
      <c r="AA36" s="26"/>
      <c r="AB36" s="29">
        <v>0</v>
      </c>
      <c r="AC36" s="26"/>
      <c r="AD36" s="29">
        <v>0</v>
      </c>
      <c r="AE36" s="26"/>
      <c r="AF36" s="29">
        <v>0</v>
      </c>
      <c r="AG36" s="26"/>
      <c r="AH36" s="29">
        <v>0</v>
      </c>
      <c r="AI36" s="26"/>
      <c r="AJ36" s="29">
        <v>0</v>
      </c>
      <c r="AK36" s="26"/>
      <c r="AL36" s="29">
        <v>0</v>
      </c>
      <c r="AM36" s="26"/>
      <c r="AN36" s="29">
        <v>0</v>
      </c>
      <c r="AO36" s="26"/>
      <c r="AP36" s="29">
        <v>0</v>
      </c>
      <c r="AQ36" s="26"/>
      <c r="AR36" s="29"/>
      <c r="AS36" s="26"/>
      <c r="AT36" s="29"/>
      <c r="AU36" s="26"/>
      <c r="AV36" s="29"/>
      <c r="AW36" s="26"/>
      <c r="AX36" s="29"/>
      <c r="AY36" s="26"/>
      <c r="AZ36" s="29">
        <v>0</v>
      </c>
      <c r="BA36" s="26"/>
      <c r="BB36" s="29"/>
      <c r="BC36" s="26"/>
      <c r="BD36" s="29"/>
      <c r="BE36" s="26"/>
      <c r="BF36" s="29"/>
      <c r="BG36" s="147"/>
      <c r="BH36" s="29"/>
      <c r="BI36" s="26"/>
      <c r="BJ36" s="29"/>
      <c r="BK36" s="26"/>
      <c r="BL36" s="29"/>
      <c r="BM36" s="26"/>
      <c r="BN36" s="29"/>
      <c r="BO36" s="26"/>
      <c r="BP36" s="29"/>
      <c r="BQ36" s="26"/>
      <c r="BR36" s="29"/>
      <c r="BS36" s="26"/>
      <c r="BT36" s="29"/>
      <c r="BU36" s="26"/>
      <c r="BV36" s="29"/>
      <c r="BW36" s="26"/>
      <c r="BX36" s="29">
        <v>0</v>
      </c>
      <c r="BY36" s="26"/>
      <c r="BZ36" s="29"/>
      <c r="CA36" s="26"/>
      <c r="CB36" s="29"/>
      <c r="CC36" s="26"/>
      <c r="CD36" s="29"/>
      <c r="CE36" s="26"/>
      <c r="CF36" s="29">
        <v>0</v>
      </c>
      <c r="CG36" s="26"/>
      <c r="CH36" s="29"/>
      <c r="CI36" s="26"/>
      <c r="CJ36" s="29">
        <v>0</v>
      </c>
      <c r="CK36" s="26"/>
      <c r="CL36" s="29">
        <v>0</v>
      </c>
      <c r="CM36" s="26"/>
      <c r="CN36" s="29">
        <v>0</v>
      </c>
      <c r="CO36" s="26"/>
      <c r="CP36" s="29">
        <v>0</v>
      </c>
      <c r="CQ36" s="26"/>
      <c r="CR36" s="29">
        <v>0</v>
      </c>
      <c r="CS36" s="26"/>
      <c r="CT36" s="29">
        <v>0</v>
      </c>
      <c r="CU36" s="26"/>
      <c r="CV36" s="29">
        <v>0</v>
      </c>
      <c r="CW36" s="8"/>
      <c r="CX36" s="29">
        <v>0</v>
      </c>
      <c r="CZ36" s="29">
        <v>0</v>
      </c>
      <c r="DA36" s="26"/>
      <c r="DB36" s="29">
        <v>0</v>
      </c>
      <c r="DC36" s="75"/>
      <c r="DD36" s="29"/>
      <c r="DF36" s="29"/>
      <c r="DH36" s="29"/>
      <c r="DJ36" s="29">
        <f t="shared" ref="DJ36" si="51">J36-L36</f>
        <v>0</v>
      </c>
      <c r="DL36" s="29">
        <f t="shared" ref="DL36:DX36" si="52">L36-N36</f>
        <v>0</v>
      </c>
      <c r="DN36" s="29">
        <f t="shared" si="52"/>
        <v>0</v>
      </c>
      <c r="DP36" s="29">
        <f t="shared" si="52"/>
        <v>0</v>
      </c>
      <c r="DR36" s="29">
        <f t="shared" si="52"/>
        <v>0</v>
      </c>
      <c r="DT36" s="29">
        <f t="shared" si="52"/>
        <v>0</v>
      </c>
      <c r="DV36" s="29">
        <f t="shared" si="52"/>
        <v>0</v>
      </c>
      <c r="DX36" s="29">
        <f t="shared" si="52"/>
        <v>0</v>
      </c>
      <c r="DZ36" s="29">
        <v>0</v>
      </c>
      <c r="EB36" s="29">
        <f>AB36-AD36</f>
        <v>0</v>
      </c>
      <c r="ED36" s="29">
        <f>AD36-AF36</f>
        <v>0</v>
      </c>
      <c r="EF36" s="29">
        <f>AF36-AH36</f>
        <v>0</v>
      </c>
      <c r="EH36" s="29">
        <v>0</v>
      </c>
      <c r="EJ36" s="29">
        <f>AJ36-AL36</f>
        <v>0</v>
      </c>
      <c r="EL36" s="29">
        <f>AL36-AN36</f>
        <v>0</v>
      </c>
      <c r="EN36" s="29">
        <f t="shared" ref="EN36" si="53">AN36-AP36</f>
        <v>0</v>
      </c>
      <c r="EP36" s="29">
        <f t="shared" ref="EP36" si="54">AP36</f>
        <v>0</v>
      </c>
      <c r="ER36" s="29">
        <f>AR36-AT36</f>
        <v>0</v>
      </c>
      <c r="ET36" s="29">
        <f>AT36-AV36</f>
        <v>0</v>
      </c>
      <c r="EV36" s="29">
        <f>AV36-AX36</f>
        <v>0</v>
      </c>
      <c r="EX36" s="29">
        <f>AX36</f>
        <v>0</v>
      </c>
      <c r="EZ36" s="29">
        <f>AZ36-BB36</f>
        <v>0</v>
      </c>
      <c r="FB36" s="29">
        <f>BB36-BD36</f>
        <v>0</v>
      </c>
      <c r="FD36" s="29">
        <f>BD36-BF36</f>
        <v>0</v>
      </c>
      <c r="FF36" s="29">
        <f>BF36</f>
        <v>0</v>
      </c>
      <c r="FH36" s="29">
        <f>BH36-BJ36</f>
        <v>0</v>
      </c>
      <c r="FJ36" s="29">
        <f>BJ36-BL36</f>
        <v>0</v>
      </c>
      <c r="FL36" s="29">
        <f>BL36-BN36</f>
        <v>0</v>
      </c>
      <c r="FN36" s="29">
        <f>BN36-BP36</f>
        <v>0</v>
      </c>
      <c r="FP36" s="29">
        <f>BP36-BR36</f>
        <v>0</v>
      </c>
      <c r="FR36" s="29">
        <f>BR36-BT36</f>
        <v>0</v>
      </c>
      <c r="FT36" s="29">
        <f>BT36</f>
        <v>0</v>
      </c>
      <c r="FV36" s="29">
        <f>BV36-BX36</f>
        <v>0</v>
      </c>
      <c r="FX36" s="29">
        <f>BX36-BZ36</f>
        <v>0</v>
      </c>
      <c r="FZ36" s="29">
        <f>BZ36-CB36</f>
        <v>0</v>
      </c>
      <c r="GB36" s="29">
        <f>CB36</f>
        <v>0</v>
      </c>
      <c r="GD36" s="29">
        <f>CD36-CF36</f>
        <v>0</v>
      </c>
      <c r="GF36" s="29">
        <f>CF36-CH36</f>
        <v>0</v>
      </c>
      <c r="GH36" s="29">
        <f>CH36-CJ36</f>
        <v>0</v>
      </c>
      <c r="GJ36" s="29">
        <f>CJ36</f>
        <v>0</v>
      </c>
      <c r="GL36" s="29">
        <f>CL36-CN36</f>
        <v>0</v>
      </c>
      <c r="GN36" s="29">
        <f>CN36-CP36</f>
        <v>0</v>
      </c>
      <c r="GP36" s="29">
        <f>CP36-CR36</f>
        <v>0</v>
      </c>
      <c r="GR36" s="29">
        <f>CR36</f>
        <v>0</v>
      </c>
      <c r="GT36" s="29">
        <f>CT36-CV36</f>
        <v>0</v>
      </c>
      <c r="GV36" s="29">
        <f>CV36-CX36</f>
        <v>0</v>
      </c>
    </row>
    <row r="37" spans="2:204">
      <c r="B37" s="26"/>
      <c r="C37" s="26"/>
      <c r="D37" s="29"/>
      <c r="E37" s="26"/>
      <c r="F37" s="29"/>
      <c r="G37" s="26"/>
      <c r="H37" s="29"/>
      <c r="I37" s="26"/>
      <c r="J37" s="29"/>
      <c r="K37" s="26"/>
      <c r="L37" s="29"/>
      <c r="M37" s="26"/>
      <c r="N37" s="29"/>
      <c r="O37" s="26"/>
      <c r="P37" s="29"/>
      <c r="Q37" s="26"/>
      <c r="R37" s="29"/>
      <c r="S37" s="26"/>
      <c r="T37" s="29"/>
      <c r="U37" s="26"/>
      <c r="V37" s="29"/>
      <c r="W37" s="26"/>
      <c r="X37" s="29"/>
      <c r="Y37" s="26"/>
      <c r="Z37" s="29"/>
      <c r="AA37" s="26"/>
      <c r="AB37" s="29"/>
      <c r="AC37" s="26"/>
      <c r="AD37" s="29"/>
      <c r="AE37" s="26"/>
      <c r="AF37" s="29"/>
      <c r="AG37" s="26"/>
      <c r="AH37" s="29"/>
      <c r="AI37" s="26"/>
      <c r="AJ37" s="29"/>
      <c r="AK37" s="26"/>
      <c r="AL37" s="29"/>
      <c r="AM37" s="26"/>
      <c r="AN37" s="29"/>
      <c r="AO37" s="26"/>
      <c r="AP37" s="29"/>
      <c r="AQ37" s="26"/>
      <c r="AR37" s="29"/>
      <c r="AS37" s="26"/>
      <c r="AT37" s="29"/>
      <c r="AU37" s="26"/>
      <c r="AV37" s="29"/>
      <c r="AW37" s="26"/>
      <c r="AX37" s="29"/>
      <c r="AY37" s="26"/>
      <c r="AZ37" s="29"/>
      <c r="BA37" s="26"/>
      <c r="BB37" s="29"/>
      <c r="BC37" s="26"/>
      <c r="BD37" s="29"/>
      <c r="BE37" s="26"/>
      <c r="BF37" s="29"/>
      <c r="BG37" s="147"/>
      <c r="BH37" s="29"/>
      <c r="BI37" s="26"/>
      <c r="BJ37" s="29"/>
      <c r="BK37" s="26"/>
      <c r="BL37" s="29"/>
      <c r="BM37" s="26"/>
      <c r="BN37" s="29"/>
      <c r="BO37" s="26"/>
      <c r="BP37" s="29"/>
      <c r="BQ37" s="26"/>
      <c r="BR37" s="29"/>
      <c r="BS37" s="26"/>
      <c r="BT37" s="29"/>
      <c r="BU37" s="26"/>
      <c r="BV37" s="29"/>
      <c r="BW37" s="26"/>
      <c r="BX37" s="29"/>
      <c r="BY37" s="26"/>
      <c r="BZ37" s="29"/>
      <c r="CA37" s="26"/>
      <c r="CB37" s="29"/>
      <c r="CC37" s="26"/>
      <c r="CD37" s="29"/>
      <c r="CE37" s="26"/>
      <c r="CF37" s="29"/>
      <c r="CG37" s="26"/>
      <c r="CH37" s="29"/>
      <c r="CI37" s="26"/>
      <c r="CJ37" s="29"/>
      <c r="CK37" s="26"/>
      <c r="CL37" s="29"/>
      <c r="CM37" s="26"/>
      <c r="CN37" s="29"/>
      <c r="CO37" s="26"/>
      <c r="CP37" s="29"/>
      <c r="CQ37" s="26"/>
      <c r="CR37" s="29"/>
      <c r="CS37" s="26"/>
      <c r="CT37" s="29"/>
      <c r="CU37" s="26"/>
      <c r="CV37" s="29"/>
      <c r="CW37" s="8"/>
      <c r="CX37" s="29"/>
      <c r="CZ37" s="32"/>
      <c r="DA37" s="26"/>
      <c r="DB37" s="32"/>
      <c r="DC37" s="75"/>
      <c r="DD37" s="29"/>
      <c r="DF37" s="29"/>
      <c r="DH37" s="29"/>
      <c r="DJ37" s="29"/>
      <c r="DL37" s="29"/>
      <c r="DN37" s="29"/>
      <c r="DP37" s="29"/>
      <c r="DR37" s="29"/>
      <c r="DT37" s="29"/>
      <c r="DV37" s="29"/>
      <c r="DX37" s="29"/>
      <c r="DZ37" s="29"/>
      <c r="EB37" s="29"/>
      <c r="ED37" s="29"/>
      <c r="EF37" s="29"/>
      <c r="EH37" s="29"/>
      <c r="EJ37" s="29"/>
      <c r="EL37" s="29"/>
      <c r="EN37" s="29"/>
      <c r="EP37" s="29"/>
      <c r="ER37" s="29"/>
      <c r="ET37" s="29"/>
      <c r="EV37" s="29"/>
      <c r="EX37" s="29"/>
      <c r="EZ37" s="29"/>
      <c r="FB37" s="29"/>
      <c r="FD37" s="29"/>
      <c r="FF37" s="29"/>
      <c r="FH37" s="29"/>
      <c r="FJ37" s="29"/>
      <c r="FL37" s="29"/>
      <c r="FN37" s="29"/>
      <c r="FP37" s="29"/>
      <c r="FR37" s="29"/>
      <c r="FT37" s="29"/>
      <c r="FV37" s="29"/>
      <c r="FX37" s="29"/>
      <c r="FZ37" s="29"/>
      <c r="GB37" s="29"/>
      <c r="GD37" s="29"/>
      <c r="GF37" s="29"/>
      <c r="GH37" s="29"/>
      <c r="GJ37" s="29"/>
      <c r="GL37" s="29"/>
      <c r="GN37" s="29"/>
      <c r="GP37" s="29"/>
      <c r="GR37" s="29"/>
      <c r="GT37" s="29"/>
      <c r="GV37" s="29"/>
    </row>
    <row r="38" spans="2:204" ht="9.5" thickBot="1">
      <c r="B38" s="25" t="s">
        <v>75</v>
      </c>
      <c r="C38" s="25"/>
      <c r="D38" s="34"/>
      <c r="E38" s="25"/>
      <c r="F38" s="34"/>
      <c r="G38" s="25"/>
      <c r="H38" s="34"/>
      <c r="I38" s="25"/>
      <c r="J38" s="34">
        <f>J33+J36</f>
        <v>33128644.661439046</v>
      </c>
      <c r="K38" s="25"/>
      <c r="L38" s="34">
        <f>L33+L36</f>
        <v>82565913.538891464</v>
      </c>
      <c r="M38" s="25"/>
      <c r="N38" s="34">
        <f>N33+N36</f>
        <v>63648250.285388507</v>
      </c>
      <c r="O38" s="25"/>
      <c r="P38" s="34">
        <f>P33+P36</f>
        <v>46903424.102619842</v>
      </c>
      <c r="Q38" s="25"/>
      <c r="R38" s="34">
        <f>R33+R36</f>
        <v>34668952.07328485</v>
      </c>
      <c r="S38" s="25"/>
      <c r="T38" s="34">
        <f>T33+T36</f>
        <v>52452190.688257925</v>
      </c>
      <c r="U38" s="25"/>
      <c r="V38" s="34">
        <f>V33+V36</f>
        <v>36628233.758489162</v>
      </c>
      <c r="W38" s="25"/>
      <c r="X38" s="34">
        <f>X33+X36</f>
        <v>23112980.901688784</v>
      </c>
      <c r="Y38" s="25"/>
      <c r="Z38" s="34">
        <f>Z33+Z36</f>
        <v>19084171.855803143</v>
      </c>
      <c r="AA38" s="25"/>
      <c r="AB38" s="34">
        <f>AB33+AB36</f>
        <v>10301206.369358443</v>
      </c>
      <c r="AC38" s="25"/>
      <c r="AD38" s="34">
        <f>AD33+AD36</f>
        <v>8048691.7190114781</v>
      </c>
      <c r="AE38" s="25"/>
      <c r="AF38" s="34">
        <f>AF33+AF36</f>
        <v>7701434.8995795436</v>
      </c>
      <c r="AG38" s="25"/>
      <c r="AH38" s="34">
        <f>AH33+AH36</f>
        <v>1779503.7167624568</v>
      </c>
      <c r="AI38" s="25"/>
      <c r="AJ38" s="34">
        <f>AJ33+AJ36</f>
        <v>8383810.8793085068</v>
      </c>
      <c r="AK38" s="25"/>
      <c r="AL38" s="34">
        <f>AL33+AL36</f>
        <v>5213721.6387859434</v>
      </c>
      <c r="AM38" s="25"/>
      <c r="AN38" s="34">
        <f>AN33+AN36</f>
        <v>5578537.7188451923</v>
      </c>
      <c r="AO38" s="25"/>
      <c r="AP38" s="34">
        <f>AP33+AP36</f>
        <v>3586190.5115086436</v>
      </c>
      <c r="AQ38" s="25"/>
      <c r="AR38" s="34">
        <f>AR33+AR36</f>
        <v>8810134.0960014779</v>
      </c>
      <c r="AS38" s="25"/>
      <c r="AT38" s="34">
        <f>AT33+AT36</f>
        <v>5954772.65289714</v>
      </c>
      <c r="AU38" s="25"/>
      <c r="AV38" s="34">
        <f>AV33+AV36</f>
        <v>4794654.4306888524</v>
      </c>
      <c r="AW38" s="25"/>
      <c r="AX38" s="34">
        <f>AX33+AX36</f>
        <v>2464786.1656587487</v>
      </c>
      <c r="AY38" s="25"/>
      <c r="AZ38" s="34">
        <f>AZ33+AZ36</f>
        <v>9136295.0251800213</v>
      </c>
      <c r="BA38" s="25"/>
      <c r="BB38" s="34">
        <f>BB33+BB36</f>
        <v>9149331.9042584989</v>
      </c>
      <c r="BC38" s="25"/>
      <c r="BD38" s="34">
        <f>BD33+BD36</f>
        <v>9063929.0360267647</v>
      </c>
      <c r="BE38" s="25"/>
      <c r="BF38" s="34">
        <f>BF33+BF36</f>
        <v>8130412.9565266129</v>
      </c>
      <c r="BG38" s="176"/>
      <c r="BH38" s="34">
        <f>BH33+BH36</f>
        <v>10293436.725174977</v>
      </c>
      <c r="BI38" s="25"/>
      <c r="BJ38" s="34">
        <f>BJ33+BJ36</f>
        <v>13118604.878813762</v>
      </c>
      <c r="BK38" s="25"/>
      <c r="BL38" s="34">
        <f>BL33+BL36</f>
        <v>11499388.168924995</v>
      </c>
      <c r="BM38" s="25"/>
      <c r="BN38" s="34">
        <f>BN33+BN36</f>
        <v>4085133.8591687502</v>
      </c>
      <c r="BO38" s="25"/>
      <c r="BP38" s="34">
        <f>BP33+BP36</f>
        <v>971657.96142750257</v>
      </c>
      <c r="BQ38" s="25"/>
      <c r="BR38" s="34">
        <f>BR33+BR36</f>
        <v>485514.17029999924</v>
      </c>
      <c r="BS38" s="25"/>
      <c r="BT38" s="34">
        <f>BT33+BT36</f>
        <v>256207.90999999861</v>
      </c>
      <c r="BU38" s="25"/>
      <c r="BV38" s="34">
        <f>BV33+BV36</f>
        <v>1082067.3649999946</v>
      </c>
      <c r="BW38" s="25"/>
      <c r="BX38" s="34">
        <f>BX33+BX36</f>
        <v>-175994.87000000081</v>
      </c>
      <c r="BY38" s="25"/>
      <c r="BZ38" s="34">
        <f>BZ33+BZ36</f>
        <v>-570915.78999999911</v>
      </c>
      <c r="CA38" s="25"/>
      <c r="CB38" s="34">
        <f>CB33+CB36</f>
        <v>-270101.15999999922</v>
      </c>
      <c r="CC38" s="25"/>
      <c r="CD38" s="34">
        <f>CD33+CD36</f>
        <v>-1265186.4699999862</v>
      </c>
      <c r="CE38" s="25"/>
      <c r="CF38" s="34">
        <f>CF33+CF36</f>
        <v>-1469911.4000000041</v>
      </c>
      <c r="CG38" s="25"/>
      <c r="CH38" s="34">
        <f>CH33+CH36</f>
        <v>-3921620.290000001</v>
      </c>
      <c r="CI38" s="25"/>
      <c r="CJ38" s="34">
        <f>CJ33+CJ36</f>
        <v>-1024136.3399999972</v>
      </c>
      <c r="CK38" s="25"/>
      <c r="CL38" s="34">
        <f>CL33+CL36</f>
        <v>3084630.899999992</v>
      </c>
      <c r="CM38" s="25"/>
      <c r="CN38" s="34">
        <f>CN33+CN36</f>
        <v>1973248.1783523778</v>
      </c>
      <c r="CO38" s="25"/>
      <c r="CP38" s="34">
        <f>CP33+CP36</f>
        <v>1126058.2930284033</v>
      </c>
      <c r="CQ38" s="25"/>
      <c r="CR38" s="34">
        <f>CR33+CR36</f>
        <v>77232.492956410832</v>
      </c>
      <c r="CS38" s="25"/>
      <c r="CT38" s="34">
        <f>CT33+CT36</f>
        <v>7693675.1700698342</v>
      </c>
      <c r="CU38" s="25"/>
      <c r="CV38" s="34">
        <f>CV33+CV36</f>
        <v>3697195.398929155</v>
      </c>
      <c r="CW38" s="8"/>
      <c r="CX38" s="34">
        <f>CX33+CX36</f>
        <v>838314.36118960846</v>
      </c>
      <c r="CZ38" s="34">
        <f>CZ33+CZ36</f>
        <v>-973346.29492694698</v>
      </c>
      <c r="DA38" s="25"/>
      <c r="DB38" s="34">
        <f>DB33+DB36</f>
        <v>-1366321.5785708474</v>
      </c>
      <c r="DC38" s="78"/>
      <c r="DD38" s="34"/>
      <c r="DF38" s="34"/>
      <c r="DH38" s="34"/>
      <c r="DJ38" s="34">
        <f>DJ33+DJ36</f>
        <v>33128644.661439046</v>
      </c>
      <c r="DL38" s="34">
        <f>DL33+DL36</f>
        <v>18917663.253502972</v>
      </c>
      <c r="DN38" s="34">
        <f>DN33+DN36</f>
        <v>16744826.182768689</v>
      </c>
      <c r="DP38" s="34">
        <f>DP33+DP36</f>
        <v>12234472.029334981</v>
      </c>
      <c r="DR38" s="34">
        <f>DR33+DR36</f>
        <v>34668952.07328485</v>
      </c>
      <c r="DT38" s="34">
        <f>DT33+DT36</f>
        <v>15823956.929768771</v>
      </c>
      <c r="DV38" s="34">
        <f>DV33+DV36</f>
        <v>13515252.856800385</v>
      </c>
      <c r="DX38" s="34">
        <f>DX33+DX36</f>
        <v>4028809.0458856476</v>
      </c>
      <c r="DZ38" s="34">
        <f>DZ33+DZ36</f>
        <v>19084171.855803143</v>
      </c>
      <c r="EB38" s="34">
        <f>EB33+EB36</f>
        <v>2252514.6503469422</v>
      </c>
      <c r="ED38" s="34">
        <f>ED33+ED36</f>
        <v>347256.81943194859</v>
      </c>
      <c r="EF38" s="34">
        <f>EF33+EF36</f>
        <v>5921931.1828170819</v>
      </c>
      <c r="EH38" s="34">
        <f>EH33+EH36</f>
        <v>1779503.7167624568</v>
      </c>
      <c r="EJ38" s="34">
        <f>EJ33+EJ36</f>
        <v>3170089.2405225644</v>
      </c>
      <c r="EL38" s="34">
        <f>EL33+EL36</f>
        <v>-364816.0800592493</v>
      </c>
      <c r="EN38" s="34">
        <f>EN33+EN36</f>
        <v>1992347.2073365441</v>
      </c>
      <c r="EP38" s="34">
        <f>EP33+EP36</f>
        <v>3586190.5115086436</v>
      </c>
      <c r="ER38" s="34">
        <f>ER33+ER36</f>
        <v>2855361.4431043412</v>
      </c>
      <c r="ET38" s="34">
        <f>ET33+ET36</f>
        <v>1160118.2222082801</v>
      </c>
      <c r="EV38" s="34">
        <f>EV33+EV36</f>
        <v>2329868.2650301126</v>
      </c>
      <c r="EX38" s="34">
        <f>EX33+EX36</f>
        <v>2464786.1656587487</v>
      </c>
      <c r="EZ38" s="34">
        <f>EZ33+EZ36</f>
        <v>-13036.879078497106</v>
      </c>
      <c r="FB38" s="34">
        <f>FB33+FB36</f>
        <v>85402.868231731351</v>
      </c>
      <c r="FD38" s="34">
        <f>FD33+FD36</f>
        <v>933516.07950016274</v>
      </c>
      <c r="FF38" s="34">
        <f>FF33+FF36</f>
        <v>8130412.9565266129</v>
      </c>
      <c r="FH38" s="34">
        <f>FH33+FH36</f>
        <v>-961430.27363877674</v>
      </c>
      <c r="FJ38" s="34">
        <f>FJ33+FJ36</f>
        <v>1619216.7098887777</v>
      </c>
      <c r="FL38" s="34">
        <f>FL33+FL36</f>
        <v>7414254.3097562362</v>
      </c>
      <c r="FN38" s="34">
        <f>FN33+FN36</f>
        <v>3113475.8977412446</v>
      </c>
      <c r="FP38" s="34">
        <f>FP33+FP36</f>
        <v>486143.79112749966</v>
      </c>
      <c r="FR38" s="34">
        <f>FR33+FR36</f>
        <v>229306.26029999787</v>
      </c>
      <c r="FT38" s="34">
        <f>FT33+FT36</f>
        <v>256207.90999999861</v>
      </c>
      <c r="FU38" s="174"/>
      <c r="FV38" s="173">
        <f>FV33+FV36</f>
        <v>1258062.2349999973</v>
      </c>
      <c r="FW38" s="174"/>
      <c r="FX38" s="173">
        <f>FX33+FX36</f>
        <v>394920.91999999812</v>
      </c>
      <c r="FY38" s="174"/>
      <c r="FZ38" s="173">
        <f>FZ33+FZ36</f>
        <v>-300814.62999999797</v>
      </c>
      <c r="GA38" s="174"/>
      <c r="GB38" s="173">
        <f>GB33+GB36</f>
        <v>-270101.15999999922</v>
      </c>
      <c r="GD38" s="34">
        <f>GD33+GD36</f>
        <v>204724.9300000103</v>
      </c>
      <c r="GF38" s="34">
        <f>GF33+GF36</f>
        <v>2451708.8899999931</v>
      </c>
      <c r="GH38" s="34">
        <f>GH33+GH36</f>
        <v>-2897483.950000003</v>
      </c>
      <c r="GJ38" s="34">
        <f>GJ33+GJ36</f>
        <v>-1024136.3399999972</v>
      </c>
      <c r="GL38" s="34">
        <f>GL33+GL36</f>
        <v>1111382.7216476225</v>
      </c>
      <c r="GN38" s="34">
        <f>GN33+GN36</f>
        <v>847189.88532396697</v>
      </c>
      <c r="GP38" s="34">
        <f>GP33+GP36</f>
        <v>1048825.800071998</v>
      </c>
      <c r="GR38" s="34">
        <f>GR33+GR36</f>
        <v>77232.492956410832</v>
      </c>
      <c r="GT38" s="34">
        <f>GT33+GT36</f>
        <v>3996479.7711406751</v>
      </c>
      <c r="GV38" s="34">
        <f>GV33+GV36</f>
        <v>2858881.037739553</v>
      </c>
    </row>
    <row r="39" spans="2:204">
      <c r="B39" s="25"/>
      <c r="C39" s="26"/>
      <c r="D39" s="29"/>
      <c r="E39" s="26"/>
      <c r="F39" s="29"/>
      <c r="G39" s="26"/>
      <c r="H39" s="29"/>
      <c r="I39" s="26"/>
      <c r="J39" s="29"/>
      <c r="K39" s="26"/>
      <c r="L39" s="29"/>
      <c r="M39" s="26"/>
      <c r="N39" s="29"/>
      <c r="O39" s="26"/>
      <c r="P39" s="29"/>
      <c r="Q39" s="26"/>
      <c r="R39" s="29"/>
      <c r="S39" s="26"/>
      <c r="T39" s="29"/>
      <c r="U39" s="26"/>
      <c r="V39" s="29"/>
      <c r="W39" s="26"/>
      <c r="X39" s="29"/>
      <c r="Y39" s="26"/>
      <c r="Z39" s="29"/>
      <c r="AA39" s="26"/>
      <c r="AB39" s="29"/>
      <c r="AC39" s="26"/>
      <c r="AD39" s="29"/>
      <c r="AE39" s="26"/>
      <c r="AF39" s="29"/>
      <c r="AG39" s="26"/>
      <c r="AH39" s="29"/>
      <c r="AI39" s="26"/>
      <c r="AJ39" s="29"/>
      <c r="AK39" s="26"/>
      <c r="AL39" s="29"/>
      <c r="AM39" s="26"/>
      <c r="AN39" s="29"/>
      <c r="AO39" s="26"/>
      <c r="AP39" s="29"/>
      <c r="AQ39" s="26"/>
      <c r="AR39" s="29"/>
      <c r="AS39" s="26"/>
      <c r="AT39" s="29"/>
      <c r="AU39" s="26"/>
      <c r="AV39" s="29"/>
      <c r="AW39" s="26"/>
      <c r="AX39" s="29"/>
      <c r="AY39" s="26"/>
      <c r="AZ39" s="29"/>
      <c r="BA39" s="26"/>
      <c r="BB39" s="29"/>
      <c r="BC39" s="26"/>
      <c r="BD39" s="29"/>
      <c r="BE39" s="26"/>
      <c r="BF39" s="29"/>
      <c r="BG39" s="147"/>
      <c r="BH39" s="29"/>
      <c r="BI39" s="26"/>
      <c r="BJ39" s="29"/>
      <c r="BK39" s="26"/>
      <c r="BL39" s="29"/>
      <c r="BM39" s="26"/>
      <c r="BN39" s="29"/>
      <c r="BO39" s="26"/>
      <c r="BP39" s="29"/>
      <c r="BQ39" s="26"/>
      <c r="BR39" s="29"/>
      <c r="BS39" s="26"/>
      <c r="BT39" s="29"/>
      <c r="BU39" s="26"/>
      <c r="BV39" s="29"/>
      <c r="BW39" s="26"/>
      <c r="BX39" s="29"/>
      <c r="BY39" s="26"/>
      <c r="BZ39" s="29"/>
      <c r="CA39" s="26"/>
      <c r="CB39" s="29"/>
      <c r="CC39" s="26"/>
      <c r="CD39" s="29"/>
      <c r="CE39" s="26"/>
      <c r="CF39" s="29"/>
      <c r="CG39" s="26"/>
      <c r="CH39" s="29"/>
      <c r="CI39" s="26"/>
      <c r="CJ39" s="29"/>
      <c r="CK39" s="26"/>
      <c r="CL39" s="29"/>
      <c r="CM39" s="26"/>
      <c r="CN39" s="29"/>
      <c r="CO39" s="26"/>
      <c r="CP39" s="29"/>
      <c r="CQ39" s="26"/>
      <c r="CR39" s="29"/>
      <c r="CS39" s="26"/>
      <c r="CT39" s="29"/>
      <c r="CU39" s="26"/>
      <c r="CV39" s="29"/>
      <c r="CW39" s="8"/>
      <c r="CX39" s="29"/>
      <c r="CZ39" s="29"/>
      <c r="DA39" s="26"/>
      <c r="DB39" s="29"/>
      <c r="DC39" s="75"/>
      <c r="DD39" s="29"/>
      <c r="DF39" s="29"/>
      <c r="DH39" s="29"/>
      <c r="DJ39" s="29"/>
      <c r="DL39" s="29"/>
      <c r="DN39" s="29"/>
      <c r="DP39" s="29"/>
      <c r="DR39" s="29"/>
      <c r="DT39" s="29"/>
      <c r="DV39" s="29"/>
      <c r="DX39" s="29"/>
      <c r="DZ39" s="29"/>
      <c r="EB39" s="29"/>
      <c r="ED39" s="29"/>
      <c r="EF39" s="29"/>
      <c r="EH39" s="29"/>
      <c r="EJ39" s="29"/>
      <c r="EL39" s="29"/>
      <c r="EN39" s="29"/>
      <c r="EP39" s="29"/>
      <c r="ER39" s="29"/>
      <c r="ET39" s="29"/>
      <c r="EV39" s="29"/>
      <c r="EX39" s="29"/>
      <c r="EZ39" s="29"/>
      <c r="FB39" s="29"/>
      <c r="FD39" s="29"/>
      <c r="FF39" s="29"/>
      <c r="FH39" s="29"/>
      <c r="FJ39" s="29"/>
      <c r="FL39" s="29"/>
      <c r="FN39" s="29"/>
      <c r="FP39" s="29"/>
      <c r="FR39" s="29"/>
      <c r="FT39" s="29"/>
      <c r="FV39" s="29"/>
      <c r="FX39" s="29"/>
      <c r="FZ39" s="29"/>
      <c r="GB39" s="29"/>
      <c r="GD39" s="29"/>
      <c r="GF39" s="29"/>
      <c r="GH39" s="29"/>
      <c r="GJ39" s="29"/>
      <c r="GL39" s="29"/>
      <c r="GN39" s="29"/>
      <c r="GP39" s="29"/>
      <c r="GR39" s="29"/>
      <c r="GT39" s="29"/>
      <c r="GV39" s="29"/>
    </row>
    <row r="40" spans="2:204" ht="21">
      <c r="B40" s="197" t="s">
        <v>171</v>
      </c>
      <c r="C40" s="26"/>
      <c r="D40" s="29"/>
      <c r="E40" s="26"/>
      <c r="F40" s="29"/>
      <c r="G40" s="26"/>
      <c r="H40" s="29"/>
      <c r="I40" s="26"/>
      <c r="J40" s="29"/>
      <c r="K40" s="26"/>
      <c r="L40" s="29"/>
      <c r="M40" s="26"/>
      <c r="N40" s="29"/>
      <c r="O40" s="26"/>
      <c r="P40" s="29"/>
      <c r="Q40" s="26"/>
      <c r="R40" s="29"/>
      <c r="S40" s="26"/>
      <c r="T40" s="29"/>
      <c r="U40" s="26"/>
      <c r="V40" s="29"/>
      <c r="W40" s="26"/>
      <c r="X40" s="29"/>
      <c r="Y40" s="26"/>
      <c r="Z40" s="29"/>
      <c r="AA40" s="26"/>
      <c r="AB40" s="29"/>
      <c r="AC40" s="26"/>
      <c r="AD40" s="29"/>
      <c r="AE40" s="26"/>
      <c r="AF40" s="29"/>
      <c r="AG40" s="26"/>
      <c r="AH40" s="29"/>
      <c r="AI40" s="26"/>
      <c r="AJ40" s="29"/>
      <c r="AK40" s="26"/>
      <c r="AL40" s="29"/>
      <c r="AM40" s="26"/>
      <c r="AN40" s="29"/>
      <c r="AO40" s="26"/>
      <c r="AP40" s="29"/>
      <c r="AQ40" s="26"/>
      <c r="AR40" s="29"/>
      <c r="AS40" s="26"/>
      <c r="AT40" s="29"/>
      <c r="AU40" s="26"/>
      <c r="AV40" s="29"/>
      <c r="AW40" s="26"/>
      <c r="AX40" s="29"/>
      <c r="AY40" s="26"/>
      <c r="AZ40" s="29"/>
      <c r="BA40" s="26"/>
      <c r="BB40" s="29"/>
      <c r="BC40" s="26"/>
      <c r="BD40" s="29"/>
      <c r="BE40" s="26"/>
      <c r="BF40" s="29"/>
      <c r="BG40" s="26"/>
      <c r="BH40" s="29"/>
      <c r="BI40" s="26"/>
      <c r="BJ40" s="29"/>
      <c r="BK40" s="26"/>
      <c r="BL40" s="29"/>
      <c r="BM40" s="26"/>
      <c r="BN40" s="29"/>
      <c r="BO40" s="26"/>
      <c r="BP40" s="29"/>
      <c r="BQ40" s="26"/>
      <c r="BR40" s="29"/>
      <c r="BS40" s="26"/>
      <c r="BT40" s="29"/>
      <c r="BU40" s="26"/>
      <c r="BV40" s="29"/>
      <c r="BW40" s="26"/>
      <c r="BX40" s="29"/>
      <c r="BY40" s="26"/>
      <c r="BZ40" s="29"/>
      <c r="CA40" s="26"/>
      <c r="CB40" s="29"/>
      <c r="CC40" s="26"/>
      <c r="CD40" s="29"/>
      <c r="CE40" s="26"/>
      <c r="CF40" s="29"/>
      <c r="CG40" s="26"/>
      <c r="CH40" s="29"/>
      <c r="CI40" s="26"/>
      <c r="CJ40" s="29"/>
      <c r="CK40" s="26"/>
      <c r="CL40" s="29"/>
      <c r="CM40" s="26"/>
      <c r="CN40" s="29"/>
      <c r="CO40" s="26"/>
      <c r="CP40" s="29"/>
      <c r="CQ40" s="26"/>
      <c r="CR40" s="29"/>
      <c r="CS40" s="26"/>
      <c r="CT40" s="29"/>
      <c r="CU40" s="26"/>
      <c r="CV40" s="29"/>
      <c r="CW40" s="8"/>
      <c r="CX40" s="29"/>
      <c r="CZ40" s="29"/>
      <c r="DA40" s="26"/>
      <c r="DB40" s="29"/>
      <c r="DC40" s="75"/>
      <c r="DD40" s="29"/>
      <c r="DF40" s="29"/>
      <c r="DH40" s="29"/>
      <c r="DJ40" s="29"/>
      <c r="DL40" s="29"/>
      <c r="DN40" s="29"/>
      <c r="DP40" s="29"/>
      <c r="DR40" s="29"/>
      <c r="DT40" s="29"/>
      <c r="DV40" s="29"/>
      <c r="DX40" s="29"/>
      <c r="DZ40" s="29">
        <f t="shared" ref="DZ40:DZ45" si="55">Z40</f>
        <v>0</v>
      </c>
      <c r="EB40" s="29"/>
      <c r="ED40" s="29"/>
      <c r="EF40" s="29"/>
      <c r="EH40" s="29">
        <f t="shared" ref="EH40:EH45" si="56">AH40</f>
        <v>0</v>
      </c>
      <c r="EJ40" s="29">
        <f t="shared" ref="EJ40:EJ45" si="57">AJ40-AL40</f>
        <v>0</v>
      </c>
      <c r="EL40" s="29"/>
      <c r="EN40" s="29"/>
      <c r="EP40" s="29"/>
      <c r="ER40" s="29"/>
      <c r="ET40" s="29"/>
      <c r="EV40" s="29"/>
      <c r="EX40" s="29"/>
      <c r="EZ40" s="29"/>
      <c r="FB40" s="29"/>
      <c r="FD40" s="29"/>
      <c r="FF40" s="29"/>
      <c r="FH40" s="29"/>
      <c r="FJ40" s="29"/>
      <c r="FL40" s="29"/>
      <c r="FN40" s="29"/>
      <c r="FP40" s="29"/>
      <c r="FR40" s="29"/>
      <c r="FT40" s="29"/>
      <c r="FV40" s="29"/>
      <c r="FX40" s="29"/>
      <c r="FZ40" s="29"/>
      <c r="GB40" s="29"/>
      <c r="GD40" s="29"/>
      <c r="GF40" s="29"/>
      <c r="GH40" s="29"/>
      <c r="GJ40" s="29"/>
      <c r="GL40" s="29"/>
      <c r="GN40" s="29"/>
      <c r="GP40" s="29"/>
      <c r="GR40" s="29"/>
      <c r="GT40" s="29">
        <f t="shared" ref="GT40:GT46" si="58">CT40-CV40</f>
        <v>0</v>
      </c>
      <c r="GV40" s="29"/>
    </row>
    <row r="41" spans="2:204" ht="10.5">
      <c r="B41" s="198" t="s">
        <v>81</v>
      </c>
      <c r="C41" s="26"/>
      <c r="D41" s="29"/>
      <c r="E41" s="26"/>
      <c r="F41" s="29"/>
      <c r="G41" s="26"/>
      <c r="H41" s="29"/>
      <c r="I41" s="26"/>
      <c r="J41" s="29"/>
      <c r="K41" s="26"/>
      <c r="L41" s="29">
        <v>-39430.620000000003</v>
      </c>
      <c r="M41" s="26"/>
      <c r="N41" s="29"/>
      <c r="O41" s="26"/>
      <c r="P41" s="29"/>
      <c r="Q41" s="26"/>
      <c r="R41" s="29"/>
      <c r="S41" s="26"/>
      <c r="T41" s="29">
        <v>-24149.55</v>
      </c>
      <c r="U41" s="26"/>
      <c r="V41" s="29"/>
      <c r="W41" s="26"/>
      <c r="X41" s="29"/>
      <c r="Y41" s="26"/>
      <c r="Z41" s="29"/>
      <c r="AA41" s="26"/>
      <c r="AB41" s="29">
        <v>41903.980000000003</v>
      </c>
      <c r="AC41" s="26"/>
      <c r="AD41" s="29"/>
      <c r="AE41" s="26"/>
      <c r="AF41" s="29"/>
      <c r="AG41" s="26"/>
      <c r="AH41" s="29"/>
      <c r="AI41" s="26"/>
      <c r="AJ41" s="29">
        <v>21822.58</v>
      </c>
      <c r="AK41" s="26"/>
      <c r="AL41" s="29"/>
      <c r="AM41" s="26"/>
      <c r="AN41" s="29"/>
      <c r="AO41" s="26"/>
      <c r="AP41" s="29"/>
      <c r="AQ41" s="26"/>
      <c r="AR41" s="29">
        <v>4110.5200000000004</v>
      </c>
      <c r="AS41" s="26"/>
      <c r="AT41" s="29"/>
      <c r="AU41" s="26"/>
      <c r="AV41" s="29"/>
      <c r="AW41" s="26"/>
      <c r="AX41" s="29"/>
      <c r="AY41" s="26"/>
      <c r="AZ41" s="29">
        <v>9275.35</v>
      </c>
      <c r="BA41" s="26"/>
      <c r="BB41" s="29"/>
      <c r="BC41" s="26"/>
      <c r="BD41" s="29"/>
      <c r="BE41" s="26"/>
      <c r="BF41" s="29"/>
      <c r="BG41" s="26"/>
      <c r="BH41" s="29">
        <v>-15304.05</v>
      </c>
      <c r="BI41" s="26"/>
      <c r="BJ41" s="29"/>
      <c r="BK41" s="26"/>
      <c r="BL41" s="29"/>
      <c r="BM41" s="26"/>
      <c r="BN41" s="29">
        <v>0</v>
      </c>
      <c r="BO41" s="26"/>
      <c r="BP41" s="29">
        <v>0</v>
      </c>
      <c r="BQ41" s="26"/>
      <c r="BR41" s="29">
        <v>0</v>
      </c>
      <c r="BS41" s="26"/>
      <c r="BT41" s="29"/>
      <c r="BU41" s="26"/>
      <c r="BV41" s="29">
        <v>7054.06</v>
      </c>
      <c r="BW41" s="26"/>
      <c r="BX41" s="29"/>
      <c r="BY41" s="26"/>
      <c r="BZ41" s="29"/>
      <c r="CA41" s="26"/>
      <c r="CB41" s="29"/>
      <c r="CC41" s="26"/>
      <c r="CD41" s="29">
        <v>5338.9</v>
      </c>
      <c r="CE41" s="26"/>
      <c r="CF41" s="29"/>
      <c r="CG41" s="26"/>
      <c r="CH41" s="29"/>
      <c r="CI41" s="26"/>
      <c r="CJ41" s="29"/>
      <c r="CK41" s="26"/>
      <c r="CL41" s="29">
        <v>-11077.66</v>
      </c>
      <c r="CM41" s="26"/>
      <c r="CN41" s="29"/>
      <c r="CO41" s="26"/>
      <c r="CP41" s="29"/>
      <c r="CQ41" s="26"/>
      <c r="CR41" s="29"/>
      <c r="CS41" s="26"/>
      <c r="CT41" s="29">
        <v>332.18</v>
      </c>
      <c r="CU41" s="26"/>
      <c r="CV41" s="29"/>
      <c r="CW41" s="8"/>
      <c r="CX41" s="29"/>
      <c r="CZ41" s="29">
        <v>875.83</v>
      </c>
      <c r="DA41" s="26"/>
      <c r="DB41" s="29">
        <v>11970.01</v>
      </c>
      <c r="DC41" s="75"/>
      <c r="DD41" s="29"/>
      <c r="DF41" s="29"/>
      <c r="DH41" s="29"/>
      <c r="DJ41" s="29">
        <f t="shared" ref="DJ41:DJ46" si="59">J41</f>
        <v>0</v>
      </c>
      <c r="DL41" s="29">
        <f t="shared" ref="DL41:DR46" si="60">L41</f>
        <v>-39430.620000000003</v>
      </c>
      <c r="DN41" s="29">
        <f t="shared" si="60"/>
        <v>0</v>
      </c>
      <c r="DP41" s="29">
        <f t="shared" si="60"/>
        <v>0</v>
      </c>
      <c r="DR41" s="29">
        <f t="shared" si="60"/>
        <v>0</v>
      </c>
      <c r="DT41" s="29">
        <f t="shared" ref="DT41:DX46" si="61">T41-V41</f>
        <v>-24149.55</v>
      </c>
      <c r="DV41" s="29">
        <f t="shared" si="61"/>
        <v>0</v>
      </c>
      <c r="DX41" s="29">
        <f t="shared" si="61"/>
        <v>0</v>
      </c>
      <c r="DZ41" s="29">
        <f t="shared" si="55"/>
        <v>0</v>
      </c>
      <c r="EB41" s="29">
        <f t="shared" ref="EB41:EF46" si="62">AB41-AD41</f>
        <v>41903.980000000003</v>
      </c>
      <c r="ED41" s="29">
        <f t="shared" si="62"/>
        <v>0</v>
      </c>
      <c r="EF41" s="29">
        <f t="shared" si="62"/>
        <v>0</v>
      </c>
      <c r="EH41" s="29">
        <f t="shared" si="56"/>
        <v>0</v>
      </c>
      <c r="EJ41" s="29">
        <f t="shared" si="57"/>
        <v>21822.58</v>
      </c>
      <c r="EL41" s="29"/>
      <c r="EN41" s="29"/>
      <c r="EP41" s="29"/>
      <c r="ER41" s="29">
        <f>AR41-AT41</f>
        <v>4110.5200000000004</v>
      </c>
      <c r="ET41" s="29">
        <f>AT41-AV41</f>
        <v>0</v>
      </c>
      <c r="EV41" s="29">
        <f>AV41-AX41</f>
        <v>0</v>
      </c>
      <c r="EX41" s="29"/>
      <c r="EZ41" s="29">
        <f>AZ41-BB41</f>
        <v>9275.35</v>
      </c>
      <c r="FB41" s="29">
        <f>BB41-BD41</f>
        <v>0</v>
      </c>
      <c r="FD41" s="29">
        <f>BD41-BF41</f>
        <v>0</v>
      </c>
      <c r="FF41" s="29"/>
      <c r="FH41" s="29">
        <f>BH41-BJ41</f>
        <v>-15304.05</v>
      </c>
      <c r="FJ41" s="29"/>
      <c r="FL41" s="29"/>
      <c r="FN41" s="29"/>
      <c r="FP41" s="29"/>
      <c r="FR41" s="29"/>
      <c r="FT41" s="29"/>
      <c r="FV41" s="29">
        <f>BV41-BX41</f>
        <v>7054.06</v>
      </c>
      <c r="FX41" s="29">
        <f>BX41-BZ41</f>
        <v>0</v>
      </c>
      <c r="FZ41" s="29">
        <f>BZ41-CB41</f>
        <v>0</v>
      </c>
      <c r="GB41" s="29"/>
      <c r="GD41" s="29">
        <f>CD41-CF41</f>
        <v>5338.9</v>
      </c>
      <c r="GF41" s="29"/>
      <c r="GH41" s="29"/>
      <c r="GJ41" s="29"/>
      <c r="GL41" s="29">
        <f t="shared" ref="GL41:GL46" si="63">CL41-CN41</f>
        <v>-11077.66</v>
      </c>
      <c r="GN41" s="29"/>
      <c r="GP41" s="29"/>
      <c r="GR41" s="29"/>
      <c r="GT41" s="29">
        <f t="shared" si="58"/>
        <v>332.18</v>
      </c>
      <c r="GV41" s="29"/>
    </row>
    <row r="42" spans="2:204" ht="10.5">
      <c r="B42" s="198" t="s">
        <v>172</v>
      </c>
      <c r="C42" s="26"/>
      <c r="D42" s="29"/>
      <c r="E42" s="26"/>
      <c r="F42" s="29"/>
      <c r="G42" s="26"/>
      <c r="H42" s="29"/>
      <c r="I42" s="26"/>
      <c r="J42" s="29"/>
      <c r="K42" s="26"/>
      <c r="L42" s="29"/>
      <c r="M42" s="26"/>
      <c r="N42" s="29"/>
      <c r="O42" s="26"/>
      <c r="P42" s="29"/>
      <c r="Q42" s="26"/>
      <c r="R42" s="29"/>
      <c r="S42" s="26"/>
      <c r="T42" s="29"/>
      <c r="U42" s="26"/>
      <c r="V42" s="29"/>
      <c r="W42" s="26"/>
      <c r="X42" s="29"/>
      <c r="Y42" s="26"/>
      <c r="Z42" s="29"/>
      <c r="AA42" s="26"/>
      <c r="AB42" s="29"/>
      <c r="AC42" s="26"/>
      <c r="AD42" s="29"/>
      <c r="AE42" s="26"/>
      <c r="AF42" s="29"/>
      <c r="AG42" s="26"/>
      <c r="AH42" s="29"/>
      <c r="AI42" s="26"/>
      <c r="AJ42" s="29"/>
      <c r="AK42" s="26"/>
      <c r="AL42" s="29"/>
      <c r="AM42" s="26"/>
      <c r="AN42" s="29"/>
      <c r="AO42" s="26"/>
      <c r="AP42" s="29"/>
      <c r="AQ42" s="26"/>
      <c r="AR42" s="29"/>
      <c r="AS42" s="26"/>
      <c r="AT42" s="29"/>
      <c r="AU42" s="26"/>
      <c r="AV42" s="29"/>
      <c r="AW42" s="26"/>
      <c r="AX42" s="29"/>
      <c r="AY42" s="26"/>
      <c r="AZ42" s="29"/>
      <c r="BA42" s="26"/>
      <c r="BB42" s="29"/>
      <c r="BC42" s="26"/>
      <c r="BD42" s="29"/>
      <c r="BE42" s="26"/>
      <c r="BF42" s="29"/>
      <c r="BG42" s="26"/>
      <c r="BH42" s="29"/>
      <c r="BI42" s="26"/>
      <c r="BJ42" s="29"/>
      <c r="BK42" s="26"/>
      <c r="BL42" s="29"/>
      <c r="BM42" s="26"/>
      <c r="BN42" s="29">
        <v>0</v>
      </c>
      <c r="BO42" s="26"/>
      <c r="BP42" s="29">
        <v>0</v>
      </c>
      <c r="BQ42" s="26"/>
      <c r="BR42" s="29"/>
      <c r="BS42" s="26"/>
      <c r="BT42" s="29"/>
      <c r="BU42" s="26"/>
      <c r="BV42" s="29"/>
      <c r="BW42" s="26"/>
      <c r="BX42" s="29"/>
      <c r="BY42" s="26"/>
      <c r="BZ42" s="29"/>
      <c r="CA42" s="26"/>
      <c r="CB42" s="29"/>
      <c r="CC42" s="26"/>
      <c r="CD42" s="29"/>
      <c r="CE42" s="26"/>
      <c r="CF42" s="29"/>
      <c r="CG42" s="26"/>
      <c r="CH42" s="29"/>
      <c r="CI42" s="26"/>
      <c r="CJ42" s="29"/>
      <c r="CK42" s="26"/>
      <c r="CL42" s="29">
        <v>0</v>
      </c>
      <c r="CM42" s="26"/>
      <c r="CN42" s="29"/>
      <c r="CO42" s="26"/>
      <c r="CP42" s="29"/>
      <c r="CQ42" s="26"/>
      <c r="CR42" s="29"/>
      <c r="CS42" s="26"/>
      <c r="CT42" s="29"/>
      <c r="CU42" s="26"/>
      <c r="CV42" s="29"/>
      <c r="CW42" s="8"/>
      <c r="CX42" s="29"/>
      <c r="CZ42" s="29"/>
      <c r="DA42" s="26"/>
      <c r="DB42" s="29"/>
      <c r="DC42" s="75"/>
      <c r="DD42" s="29"/>
      <c r="DF42" s="29"/>
      <c r="DH42" s="29"/>
      <c r="DJ42" s="29">
        <f t="shared" si="59"/>
        <v>0</v>
      </c>
      <c r="DL42" s="29">
        <f t="shared" si="60"/>
        <v>0</v>
      </c>
      <c r="DN42" s="29">
        <f t="shared" si="60"/>
        <v>0</v>
      </c>
      <c r="DP42" s="29">
        <f t="shared" si="60"/>
        <v>0</v>
      </c>
      <c r="DR42" s="29">
        <f t="shared" si="60"/>
        <v>0</v>
      </c>
      <c r="DT42" s="29">
        <f t="shared" si="61"/>
        <v>0</v>
      </c>
      <c r="DV42" s="29">
        <f t="shared" si="61"/>
        <v>0</v>
      </c>
      <c r="DX42" s="29">
        <f t="shared" si="61"/>
        <v>0</v>
      </c>
      <c r="DZ42" s="29">
        <f t="shared" si="55"/>
        <v>0</v>
      </c>
      <c r="EB42" s="29">
        <f t="shared" si="62"/>
        <v>0</v>
      </c>
      <c r="ED42" s="29">
        <f t="shared" si="62"/>
        <v>0</v>
      </c>
      <c r="EF42" s="29">
        <f t="shared" si="62"/>
        <v>0</v>
      </c>
      <c r="EH42" s="29">
        <f t="shared" si="56"/>
        <v>0</v>
      </c>
      <c r="EJ42" s="29">
        <f t="shared" si="57"/>
        <v>0</v>
      </c>
      <c r="EL42" s="29"/>
      <c r="EN42" s="29"/>
      <c r="EP42" s="29"/>
      <c r="ER42" s="29"/>
      <c r="ET42" s="29"/>
      <c r="EV42" s="29"/>
      <c r="EX42" s="29"/>
      <c r="EZ42" s="29"/>
      <c r="FB42" s="29"/>
      <c r="FD42" s="29"/>
      <c r="FF42" s="29"/>
      <c r="FH42" s="29"/>
      <c r="FJ42" s="29"/>
      <c r="FL42" s="29"/>
      <c r="FN42" s="29"/>
      <c r="FP42" s="29"/>
      <c r="FR42" s="29"/>
      <c r="FT42" s="29"/>
      <c r="FV42" s="29"/>
      <c r="FX42" s="29"/>
      <c r="FZ42" s="29"/>
      <c r="GB42" s="29"/>
      <c r="GD42" s="29"/>
      <c r="GF42" s="29"/>
      <c r="GH42" s="29"/>
      <c r="GJ42" s="29"/>
      <c r="GL42" s="29">
        <f t="shared" si="63"/>
        <v>0</v>
      </c>
      <c r="GN42" s="29"/>
      <c r="GP42" s="29"/>
      <c r="GR42" s="29"/>
      <c r="GT42" s="29">
        <f t="shared" si="58"/>
        <v>0</v>
      </c>
      <c r="GV42" s="29"/>
    </row>
    <row r="43" spans="2:204" ht="10.5">
      <c r="B43" s="198" t="s">
        <v>173</v>
      </c>
      <c r="C43" s="26"/>
      <c r="D43" s="29"/>
      <c r="E43" s="26"/>
      <c r="F43" s="29"/>
      <c r="G43" s="26"/>
      <c r="H43" s="29"/>
      <c r="I43" s="26"/>
      <c r="J43" s="29"/>
      <c r="K43" s="26"/>
      <c r="L43" s="29"/>
      <c r="M43" s="26"/>
      <c r="N43" s="29"/>
      <c r="O43" s="26"/>
      <c r="P43" s="29"/>
      <c r="Q43" s="26"/>
      <c r="R43" s="29"/>
      <c r="S43" s="26"/>
      <c r="T43" s="29"/>
      <c r="U43" s="26"/>
      <c r="V43" s="29"/>
      <c r="W43" s="26"/>
      <c r="X43" s="29"/>
      <c r="Y43" s="26"/>
      <c r="Z43" s="29"/>
      <c r="AA43" s="26"/>
      <c r="AB43" s="29"/>
      <c r="AC43" s="26"/>
      <c r="AD43" s="29"/>
      <c r="AE43" s="26"/>
      <c r="AF43" s="29"/>
      <c r="AG43" s="26"/>
      <c r="AH43" s="29"/>
      <c r="AI43" s="26"/>
      <c r="AJ43" s="29"/>
      <c r="AK43" s="26"/>
      <c r="AL43" s="29"/>
      <c r="AM43" s="26"/>
      <c r="AN43" s="29"/>
      <c r="AO43" s="26"/>
      <c r="AP43" s="29"/>
      <c r="AQ43" s="26"/>
      <c r="AR43" s="29"/>
      <c r="AS43" s="26"/>
      <c r="AT43" s="29"/>
      <c r="AU43" s="26"/>
      <c r="AV43" s="29"/>
      <c r="AW43" s="26"/>
      <c r="AX43" s="29"/>
      <c r="AY43" s="26"/>
      <c r="AZ43" s="29"/>
      <c r="BA43" s="26"/>
      <c r="BB43" s="29"/>
      <c r="BC43" s="26"/>
      <c r="BD43" s="29"/>
      <c r="BE43" s="26"/>
      <c r="BF43" s="29"/>
      <c r="BG43" s="26"/>
      <c r="BH43" s="29"/>
      <c r="BI43" s="26"/>
      <c r="BJ43" s="29"/>
      <c r="BK43" s="26"/>
      <c r="BL43" s="29"/>
      <c r="BM43" s="26"/>
      <c r="BN43" s="29">
        <v>0</v>
      </c>
      <c r="BO43" s="26"/>
      <c r="BP43" s="29">
        <v>0</v>
      </c>
      <c r="BQ43" s="26"/>
      <c r="BR43" s="29"/>
      <c r="BS43" s="26"/>
      <c r="BT43" s="29"/>
      <c r="BU43" s="26"/>
      <c r="BV43" s="29"/>
      <c r="BW43" s="26"/>
      <c r="BX43" s="29"/>
      <c r="BY43" s="26"/>
      <c r="BZ43" s="29"/>
      <c r="CA43" s="26"/>
      <c r="CB43" s="29"/>
      <c r="CC43" s="26"/>
      <c r="CD43" s="29"/>
      <c r="CE43" s="26"/>
      <c r="CF43" s="29"/>
      <c r="CG43" s="26"/>
      <c r="CH43" s="29"/>
      <c r="CI43" s="26"/>
      <c r="CJ43" s="29"/>
      <c r="CK43" s="26"/>
      <c r="CL43" s="29">
        <v>0</v>
      </c>
      <c r="CM43" s="26"/>
      <c r="CN43" s="29"/>
      <c r="CO43" s="26"/>
      <c r="CP43" s="29"/>
      <c r="CQ43" s="26"/>
      <c r="CR43" s="29"/>
      <c r="CS43" s="26"/>
      <c r="CT43" s="29"/>
      <c r="CU43" s="26"/>
      <c r="CV43" s="29"/>
      <c r="CW43" s="8"/>
      <c r="CX43" s="29"/>
      <c r="CZ43" s="29"/>
      <c r="DA43" s="26"/>
      <c r="DB43" s="29"/>
      <c r="DC43" s="75"/>
      <c r="DD43" s="29"/>
      <c r="DF43" s="29"/>
      <c r="DH43" s="29"/>
      <c r="DJ43" s="29">
        <f t="shared" si="59"/>
        <v>0</v>
      </c>
      <c r="DL43" s="29">
        <f t="shared" si="60"/>
        <v>0</v>
      </c>
      <c r="DN43" s="29">
        <f t="shared" si="60"/>
        <v>0</v>
      </c>
      <c r="DP43" s="29">
        <f t="shared" si="60"/>
        <v>0</v>
      </c>
      <c r="DR43" s="29">
        <f t="shared" si="60"/>
        <v>0</v>
      </c>
      <c r="DT43" s="29">
        <f t="shared" si="61"/>
        <v>0</v>
      </c>
      <c r="DV43" s="29">
        <f t="shared" si="61"/>
        <v>0</v>
      </c>
      <c r="DX43" s="29">
        <f t="shared" si="61"/>
        <v>0</v>
      </c>
      <c r="DZ43" s="29">
        <f t="shared" si="55"/>
        <v>0</v>
      </c>
      <c r="EB43" s="29">
        <f t="shared" si="62"/>
        <v>0</v>
      </c>
      <c r="ED43" s="29">
        <f t="shared" si="62"/>
        <v>0</v>
      </c>
      <c r="EF43" s="29">
        <f t="shared" si="62"/>
        <v>0</v>
      </c>
      <c r="EH43" s="29">
        <f t="shared" si="56"/>
        <v>0</v>
      </c>
      <c r="EJ43" s="29">
        <f t="shared" si="57"/>
        <v>0</v>
      </c>
      <c r="EL43" s="29"/>
      <c r="EN43" s="29"/>
      <c r="EP43" s="29"/>
      <c r="ER43" s="29"/>
      <c r="ET43" s="29"/>
      <c r="EV43" s="29"/>
      <c r="EX43" s="29"/>
      <c r="EZ43" s="29"/>
      <c r="FB43" s="29"/>
      <c r="FD43" s="29"/>
      <c r="FF43" s="29"/>
      <c r="FH43" s="29"/>
      <c r="FJ43" s="29"/>
      <c r="FL43" s="29"/>
      <c r="FN43" s="29"/>
      <c r="FP43" s="29"/>
      <c r="FR43" s="29"/>
      <c r="FT43" s="29"/>
      <c r="FV43" s="29"/>
      <c r="FX43" s="29"/>
      <c r="FZ43" s="29"/>
      <c r="GB43" s="29"/>
      <c r="GD43" s="29"/>
      <c r="GF43" s="29"/>
      <c r="GH43" s="29"/>
      <c r="GJ43" s="29"/>
      <c r="GL43" s="29">
        <f t="shared" si="63"/>
        <v>0</v>
      </c>
      <c r="GN43" s="29"/>
      <c r="GP43" s="29"/>
      <c r="GR43" s="29"/>
      <c r="GT43" s="29">
        <f t="shared" si="58"/>
        <v>0</v>
      </c>
      <c r="GV43" s="29"/>
    </row>
    <row r="44" spans="2:204" ht="10.5">
      <c r="B44" s="198" t="s">
        <v>174</v>
      </c>
      <c r="C44" s="26"/>
      <c r="D44" s="29"/>
      <c r="E44" s="26"/>
      <c r="F44" s="29"/>
      <c r="G44" s="26"/>
      <c r="H44" s="29"/>
      <c r="I44" s="26"/>
      <c r="J44" s="29"/>
      <c r="K44" s="26"/>
      <c r="L44" s="29"/>
      <c r="M44" s="26"/>
      <c r="N44" s="29"/>
      <c r="O44" s="26"/>
      <c r="P44" s="29"/>
      <c r="Q44" s="26"/>
      <c r="R44" s="29"/>
      <c r="S44" s="26"/>
      <c r="T44" s="29"/>
      <c r="U44" s="26"/>
      <c r="V44" s="29"/>
      <c r="W44" s="26"/>
      <c r="X44" s="29"/>
      <c r="Y44" s="26"/>
      <c r="Z44" s="29"/>
      <c r="AA44" s="26"/>
      <c r="AB44" s="29"/>
      <c r="AC44" s="26"/>
      <c r="AD44" s="29"/>
      <c r="AE44" s="26"/>
      <c r="AF44" s="29"/>
      <c r="AG44" s="26"/>
      <c r="AH44" s="29"/>
      <c r="AI44" s="26"/>
      <c r="AJ44" s="29"/>
      <c r="AK44" s="26"/>
      <c r="AL44" s="29"/>
      <c r="AM44" s="26"/>
      <c r="AN44" s="29"/>
      <c r="AO44" s="26"/>
      <c r="AP44" s="29"/>
      <c r="AQ44" s="26"/>
      <c r="AR44" s="29"/>
      <c r="AS44" s="26"/>
      <c r="AT44" s="29"/>
      <c r="AU44" s="26"/>
      <c r="AV44" s="29"/>
      <c r="AW44" s="26"/>
      <c r="AX44" s="29"/>
      <c r="AY44" s="26"/>
      <c r="AZ44" s="29"/>
      <c r="BA44" s="26"/>
      <c r="BB44" s="29"/>
      <c r="BC44" s="26"/>
      <c r="BD44" s="29"/>
      <c r="BE44" s="26"/>
      <c r="BF44" s="29"/>
      <c r="BG44" s="26"/>
      <c r="BH44" s="29"/>
      <c r="BI44" s="26"/>
      <c r="BJ44" s="29"/>
      <c r="BK44" s="26"/>
      <c r="BL44" s="29"/>
      <c r="BM44" s="26"/>
      <c r="BN44" s="29">
        <v>0</v>
      </c>
      <c r="BO44" s="26"/>
      <c r="BP44" s="29">
        <v>0</v>
      </c>
      <c r="BQ44" s="26"/>
      <c r="BR44" s="29"/>
      <c r="BS44" s="26"/>
      <c r="BT44" s="29"/>
      <c r="BU44" s="26"/>
      <c r="BV44" s="29"/>
      <c r="BW44" s="26"/>
      <c r="BX44" s="29"/>
      <c r="BY44" s="26"/>
      <c r="BZ44" s="29"/>
      <c r="CA44" s="26"/>
      <c r="CB44" s="29"/>
      <c r="CC44" s="26"/>
      <c r="CD44" s="29"/>
      <c r="CE44" s="26"/>
      <c r="CF44" s="29"/>
      <c r="CG44" s="26"/>
      <c r="CH44" s="29"/>
      <c r="CI44" s="26"/>
      <c r="CJ44" s="29"/>
      <c r="CK44" s="26"/>
      <c r="CL44" s="29">
        <v>0</v>
      </c>
      <c r="CM44" s="26"/>
      <c r="CN44" s="29"/>
      <c r="CO44" s="26"/>
      <c r="CP44" s="29"/>
      <c r="CQ44" s="26"/>
      <c r="CR44" s="29"/>
      <c r="CS44" s="26"/>
      <c r="CT44" s="29"/>
      <c r="CU44" s="26"/>
      <c r="CV44" s="29"/>
      <c r="CW44" s="8"/>
      <c r="CX44" s="29"/>
      <c r="CZ44" s="29"/>
      <c r="DA44" s="26"/>
      <c r="DB44" s="29"/>
      <c r="DC44" s="75"/>
      <c r="DD44" s="29"/>
      <c r="DF44" s="29"/>
      <c r="DH44" s="29"/>
      <c r="DJ44" s="29">
        <f t="shared" si="59"/>
        <v>0</v>
      </c>
      <c r="DL44" s="29">
        <f t="shared" si="60"/>
        <v>0</v>
      </c>
      <c r="DN44" s="29">
        <f t="shared" si="60"/>
        <v>0</v>
      </c>
      <c r="DP44" s="29">
        <f t="shared" si="60"/>
        <v>0</v>
      </c>
      <c r="DR44" s="29">
        <f t="shared" si="60"/>
        <v>0</v>
      </c>
      <c r="DT44" s="29">
        <f t="shared" si="61"/>
        <v>0</v>
      </c>
      <c r="DV44" s="29">
        <f t="shared" si="61"/>
        <v>0</v>
      </c>
      <c r="DX44" s="29">
        <f t="shared" si="61"/>
        <v>0</v>
      </c>
      <c r="DZ44" s="29">
        <f t="shared" si="55"/>
        <v>0</v>
      </c>
      <c r="EB44" s="29">
        <f t="shared" si="62"/>
        <v>0</v>
      </c>
      <c r="ED44" s="29">
        <f t="shared" si="62"/>
        <v>0</v>
      </c>
      <c r="EF44" s="29">
        <f t="shared" si="62"/>
        <v>0</v>
      </c>
      <c r="EH44" s="29">
        <f t="shared" si="56"/>
        <v>0</v>
      </c>
      <c r="EJ44" s="29">
        <f t="shared" si="57"/>
        <v>0</v>
      </c>
      <c r="EL44" s="29"/>
      <c r="EN44" s="29"/>
      <c r="EP44" s="29"/>
      <c r="ER44" s="29"/>
      <c r="ET44" s="29"/>
      <c r="EV44" s="29"/>
      <c r="EX44" s="29"/>
      <c r="EZ44" s="29"/>
      <c r="FB44" s="29"/>
      <c r="FD44" s="29"/>
      <c r="FF44" s="29"/>
      <c r="FH44" s="29"/>
      <c r="FJ44" s="29"/>
      <c r="FL44" s="29"/>
      <c r="FN44" s="29"/>
      <c r="FP44" s="29"/>
      <c r="FR44" s="29"/>
      <c r="FT44" s="29"/>
      <c r="FV44" s="29"/>
      <c r="FX44" s="29"/>
      <c r="FZ44" s="29"/>
      <c r="GB44" s="29"/>
      <c r="GD44" s="29"/>
      <c r="GF44" s="29"/>
      <c r="GH44" s="29"/>
      <c r="GJ44" s="29"/>
      <c r="GL44" s="29">
        <f t="shared" si="63"/>
        <v>0</v>
      </c>
      <c r="GN44" s="29"/>
      <c r="GP44" s="29"/>
      <c r="GR44" s="29"/>
      <c r="GT44" s="29">
        <f t="shared" si="58"/>
        <v>0</v>
      </c>
      <c r="GV44" s="29"/>
    </row>
    <row r="45" spans="2:204" ht="10.5">
      <c r="B45" s="198" t="s">
        <v>82</v>
      </c>
      <c r="C45" s="26"/>
      <c r="D45" s="29"/>
      <c r="E45" s="26"/>
      <c r="F45" s="29"/>
      <c r="G45" s="26"/>
      <c r="H45" s="29"/>
      <c r="I45" s="26"/>
      <c r="J45" s="29"/>
      <c r="K45" s="26"/>
      <c r="L45" s="29"/>
      <c r="M45" s="26"/>
      <c r="N45" s="29"/>
      <c r="O45" s="26"/>
      <c r="P45" s="29"/>
      <c r="Q45" s="26"/>
      <c r="R45" s="29"/>
      <c r="S45" s="26"/>
      <c r="T45" s="29"/>
      <c r="U45" s="26"/>
      <c r="V45" s="29"/>
      <c r="W45" s="26"/>
      <c r="X45" s="29"/>
      <c r="Y45" s="26"/>
      <c r="Z45" s="29"/>
      <c r="AA45" s="26"/>
      <c r="AB45" s="29"/>
      <c r="AC45" s="26"/>
      <c r="AD45" s="29"/>
      <c r="AE45" s="26"/>
      <c r="AF45" s="29"/>
      <c r="AG45" s="26"/>
      <c r="AH45" s="29"/>
      <c r="AI45" s="26"/>
      <c r="AJ45" s="29"/>
      <c r="AK45" s="26"/>
      <c r="AL45" s="29"/>
      <c r="AM45" s="26"/>
      <c r="AN45" s="29"/>
      <c r="AO45" s="26"/>
      <c r="AP45" s="29"/>
      <c r="AQ45" s="26"/>
      <c r="AR45" s="29"/>
      <c r="AS45" s="26"/>
      <c r="AT45" s="29"/>
      <c r="AU45" s="26"/>
      <c r="AV45" s="29"/>
      <c r="AW45" s="26"/>
      <c r="AX45" s="29"/>
      <c r="AY45" s="26"/>
      <c r="AZ45" s="29"/>
      <c r="BA45" s="26"/>
      <c r="BB45" s="29"/>
      <c r="BC45" s="26"/>
      <c r="BD45" s="29"/>
      <c r="BE45" s="26"/>
      <c r="BF45" s="29"/>
      <c r="BG45" s="26"/>
      <c r="BH45" s="29"/>
      <c r="BI45" s="26"/>
      <c r="BJ45" s="29"/>
      <c r="BK45" s="26"/>
      <c r="BL45" s="29"/>
      <c r="BM45" s="26"/>
      <c r="BN45" s="29">
        <v>0</v>
      </c>
      <c r="BO45" s="26"/>
      <c r="BP45" s="29">
        <v>0</v>
      </c>
      <c r="BQ45" s="26"/>
      <c r="BR45" s="29"/>
      <c r="BS45" s="26"/>
      <c r="BT45" s="29"/>
      <c r="BU45" s="26"/>
      <c r="BV45" s="29"/>
      <c r="BW45" s="26"/>
      <c r="BX45" s="29"/>
      <c r="BY45" s="26"/>
      <c r="BZ45" s="29"/>
      <c r="CA45" s="26"/>
      <c r="CB45" s="29"/>
      <c r="CC45" s="26"/>
      <c r="CD45" s="29"/>
      <c r="CE45" s="26"/>
      <c r="CF45" s="29"/>
      <c r="CG45" s="26"/>
      <c r="CH45" s="29"/>
      <c r="CI45" s="26"/>
      <c r="CJ45" s="29"/>
      <c r="CK45" s="26"/>
      <c r="CL45" s="29">
        <v>0</v>
      </c>
      <c r="CM45" s="26"/>
      <c r="CN45" s="29"/>
      <c r="CO45" s="26"/>
      <c r="CP45" s="29"/>
      <c r="CQ45" s="26"/>
      <c r="CR45" s="29"/>
      <c r="CS45" s="26"/>
      <c r="CT45" s="29"/>
      <c r="CU45" s="26"/>
      <c r="CV45" s="29"/>
      <c r="CW45" s="8"/>
      <c r="CX45" s="29"/>
      <c r="CZ45" s="29"/>
      <c r="DA45" s="26"/>
      <c r="DB45" s="29"/>
      <c r="DC45" s="75"/>
      <c r="DD45" s="29"/>
      <c r="DF45" s="29"/>
      <c r="DH45" s="29"/>
      <c r="DJ45" s="29">
        <f t="shared" si="59"/>
        <v>0</v>
      </c>
      <c r="DL45" s="29">
        <f t="shared" si="60"/>
        <v>0</v>
      </c>
      <c r="DN45" s="29">
        <f t="shared" si="60"/>
        <v>0</v>
      </c>
      <c r="DP45" s="29">
        <f t="shared" si="60"/>
        <v>0</v>
      </c>
      <c r="DR45" s="29">
        <f t="shared" si="60"/>
        <v>0</v>
      </c>
      <c r="DT45" s="29">
        <f t="shared" si="61"/>
        <v>0</v>
      </c>
      <c r="DV45" s="29">
        <f t="shared" si="61"/>
        <v>0</v>
      </c>
      <c r="DX45" s="29">
        <f t="shared" si="61"/>
        <v>0</v>
      </c>
      <c r="DZ45" s="29">
        <f t="shared" si="55"/>
        <v>0</v>
      </c>
      <c r="EB45" s="29">
        <f t="shared" si="62"/>
        <v>0</v>
      </c>
      <c r="ED45" s="29">
        <f t="shared" si="62"/>
        <v>0</v>
      </c>
      <c r="EF45" s="29">
        <f t="shared" si="62"/>
        <v>0</v>
      </c>
      <c r="EH45" s="29">
        <f t="shared" si="56"/>
        <v>0</v>
      </c>
      <c r="EJ45" s="29">
        <f t="shared" si="57"/>
        <v>0</v>
      </c>
      <c r="EL45" s="29"/>
      <c r="EN45" s="29"/>
      <c r="EP45" s="29"/>
      <c r="ER45" s="29"/>
      <c r="ET45" s="29"/>
      <c r="EV45" s="29"/>
      <c r="EX45" s="29"/>
      <c r="EZ45" s="29"/>
      <c r="FB45" s="29"/>
      <c r="FD45" s="29"/>
      <c r="FF45" s="29"/>
      <c r="FH45" s="29"/>
      <c r="FJ45" s="29"/>
      <c r="FL45" s="29"/>
      <c r="FN45" s="29"/>
      <c r="FP45" s="29"/>
      <c r="FR45" s="29"/>
      <c r="FT45" s="29"/>
      <c r="FV45" s="29"/>
      <c r="FX45" s="29"/>
      <c r="FZ45" s="29"/>
      <c r="GB45" s="29"/>
      <c r="GD45" s="29"/>
      <c r="GF45" s="29"/>
      <c r="GH45" s="29"/>
      <c r="GJ45" s="29"/>
      <c r="GL45" s="29">
        <f t="shared" si="63"/>
        <v>0</v>
      </c>
      <c r="GN45" s="29"/>
      <c r="GP45" s="29"/>
      <c r="GR45" s="29"/>
      <c r="GT45" s="29">
        <f t="shared" si="58"/>
        <v>0</v>
      </c>
      <c r="GV45" s="29"/>
    </row>
    <row r="46" spans="2:204" ht="10.5">
      <c r="B46" s="198" t="s">
        <v>83</v>
      </c>
      <c r="C46" s="26"/>
      <c r="D46" s="29"/>
      <c r="E46" s="26"/>
      <c r="F46" s="29"/>
      <c r="G46" s="26"/>
      <c r="H46" s="29"/>
      <c r="I46" s="26"/>
      <c r="J46" s="29"/>
      <c r="K46" s="26"/>
      <c r="L46" s="29">
        <v>7491.82</v>
      </c>
      <c r="M46" s="26"/>
      <c r="N46" s="29"/>
      <c r="O46" s="26"/>
      <c r="P46" s="29"/>
      <c r="Q46" s="26"/>
      <c r="R46" s="29"/>
      <c r="S46" s="26"/>
      <c r="T46" s="29">
        <v>4588.41</v>
      </c>
      <c r="U46" s="26"/>
      <c r="V46" s="29"/>
      <c r="W46" s="26"/>
      <c r="X46" s="29"/>
      <c r="Y46" s="26"/>
      <c r="Z46" s="29"/>
      <c r="AA46" s="26"/>
      <c r="AB46" s="29">
        <v>-7961.76</v>
      </c>
      <c r="AC46" s="26"/>
      <c r="AD46" s="29"/>
      <c r="AE46" s="26"/>
      <c r="AF46" s="29"/>
      <c r="AG46" s="26"/>
      <c r="AH46" s="29"/>
      <c r="AI46" s="26"/>
      <c r="AJ46" s="29">
        <v>-4146.29</v>
      </c>
      <c r="AK46" s="26"/>
      <c r="AL46" s="29"/>
      <c r="AM46" s="26"/>
      <c r="AN46" s="29"/>
      <c r="AO46" s="26"/>
      <c r="AP46" s="29"/>
      <c r="AQ46" s="26"/>
      <c r="AR46" s="29">
        <v>-781</v>
      </c>
      <c r="AS46" s="26"/>
      <c r="AT46" s="29"/>
      <c r="AU46" s="26"/>
      <c r="AV46" s="29"/>
      <c r="AW46" s="26"/>
      <c r="AX46" s="29"/>
      <c r="AY46" s="26"/>
      <c r="AZ46" s="29">
        <v>-1762.32</v>
      </c>
      <c r="BA46" s="26"/>
      <c r="BB46" s="29"/>
      <c r="BC46" s="26"/>
      <c r="BD46" s="29"/>
      <c r="BE46" s="26"/>
      <c r="BF46" s="29"/>
      <c r="BG46" s="26"/>
      <c r="BH46" s="29">
        <v>2907.77</v>
      </c>
      <c r="BI46" s="26"/>
      <c r="BJ46" s="29"/>
      <c r="BK46" s="26"/>
      <c r="BL46" s="29"/>
      <c r="BM46" s="26"/>
      <c r="BN46" s="29">
        <v>0</v>
      </c>
      <c r="BO46" s="26"/>
      <c r="BP46" s="29">
        <v>0</v>
      </c>
      <c r="BQ46" s="26"/>
      <c r="BR46" s="29">
        <v>0</v>
      </c>
      <c r="BS46" s="26"/>
      <c r="BT46" s="29"/>
      <c r="BU46" s="26"/>
      <c r="BV46" s="29">
        <v>-1340.27</v>
      </c>
      <c r="BW46" s="26"/>
      <c r="BX46" s="29"/>
      <c r="BY46" s="26"/>
      <c r="BZ46" s="29"/>
      <c r="CA46" s="26"/>
      <c r="CB46" s="29"/>
      <c r="CC46" s="26"/>
      <c r="CD46" s="29">
        <v>-1014.4</v>
      </c>
      <c r="CE46" s="26"/>
      <c r="CF46" s="29"/>
      <c r="CG46" s="26"/>
      <c r="CH46" s="29"/>
      <c r="CI46" s="26"/>
      <c r="CJ46" s="29"/>
      <c r="CK46" s="26"/>
      <c r="CL46" s="29">
        <v>2104.77</v>
      </c>
      <c r="CM46" s="26"/>
      <c r="CN46" s="29"/>
      <c r="CO46" s="26"/>
      <c r="CP46" s="29"/>
      <c r="CQ46" s="26"/>
      <c r="CR46" s="29"/>
      <c r="CS46" s="26"/>
      <c r="CT46" s="29">
        <v>-63.114199999999983</v>
      </c>
      <c r="CU46" s="26"/>
      <c r="CV46" s="29"/>
      <c r="CW46" s="8"/>
      <c r="CX46" s="29"/>
      <c r="CZ46" s="29">
        <v>-166.40769999999998</v>
      </c>
      <c r="DA46" s="26"/>
      <c r="DB46" s="29">
        <v>-2274.3000000000002</v>
      </c>
      <c r="DC46" s="75"/>
      <c r="DD46" s="29"/>
      <c r="DF46" s="29"/>
      <c r="DH46" s="29"/>
      <c r="DJ46" s="29">
        <f t="shared" si="59"/>
        <v>0</v>
      </c>
      <c r="DL46" s="29">
        <f t="shared" si="60"/>
        <v>7491.82</v>
      </c>
      <c r="DN46" s="29">
        <f t="shared" si="60"/>
        <v>0</v>
      </c>
      <c r="DP46" s="29">
        <f t="shared" si="60"/>
        <v>0</v>
      </c>
      <c r="DR46" s="29">
        <f t="shared" si="60"/>
        <v>0</v>
      </c>
      <c r="DT46" s="29">
        <f t="shared" si="61"/>
        <v>4588.41</v>
      </c>
      <c r="DV46" s="29">
        <f t="shared" si="61"/>
        <v>0</v>
      </c>
      <c r="DX46" s="29">
        <f t="shared" si="61"/>
        <v>0</v>
      </c>
      <c r="DZ46" s="29"/>
      <c r="EB46" s="29">
        <f t="shared" si="62"/>
        <v>-7961.76</v>
      </c>
      <c r="ED46" s="29"/>
      <c r="EF46" s="29"/>
      <c r="EH46" s="29"/>
      <c r="EJ46" s="29"/>
      <c r="EL46" s="29"/>
      <c r="EN46" s="29"/>
      <c r="EP46" s="29"/>
      <c r="ER46" s="29">
        <f>AR46-AT46</f>
        <v>-781</v>
      </c>
      <c r="ET46" s="29">
        <f>AT46-AV46</f>
        <v>0</v>
      </c>
      <c r="EV46" s="29">
        <f>AV46-AX46</f>
        <v>0</v>
      </c>
      <c r="EX46" s="29"/>
      <c r="EZ46" s="29">
        <f>AZ46-BB46</f>
        <v>-1762.32</v>
      </c>
      <c r="FB46" s="29">
        <f>BB46-BD46</f>
        <v>0</v>
      </c>
      <c r="FD46" s="29">
        <f>BD46-BF46</f>
        <v>0</v>
      </c>
      <c r="FF46" s="29"/>
      <c r="FH46" s="29">
        <f>BH46-BJ46</f>
        <v>2907.77</v>
      </c>
      <c r="FJ46" s="29"/>
      <c r="FL46" s="29"/>
      <c r="FN46" s="29"/>
      <c r="FP46" s="29"/>
      <c r="FR46" s="29"/>
      <c r="FT46" s="29"/>
      <c r="FV46" s="29">
        <f>BV46-BX46</f>
        <v>-1340.27</v>
      </c>
      <c r="FX46" s="29">
        <f>BX46-BZ46</f>
        <v>0</v>
      </c>
      <c r="FZ46" s="29">
        <f>BZ46-CB46</f>
        <v>0</v>
      </c>
      <c r="GB46" s="29"/>
      <c r="GD46" s="29">
        <f>CD46-CF46</f>
        <v>-1014.4</v>
      </c>
      <c r="GF46" s="29"/>
      <c r="GH46" s="29"/>
      <c r="GJ46" s="29"/>
      <c r="GL46" s="29">
        <f t="shared" si="63"/>
        <v>2104.77</v>
      </c>
      <c r="GN46" s="29"/>
      <c r="GP46" s="29"/>
      <c r="GR46" s="29"/>
      <c r="GT46" s="29">
        <f t="shared" si="58"/>
        <v>-63.114199999999983</v>
      </c>
      <c r="GV46" s="29"/>
    </row>
    <row r="47" spans="2:204" ht="10.5">
      <c r="B47" s="199"/>
      <c r="C47" s="26"/>
      <c r="D47" s="31"/>
      <c r="E47" s="26"/>
      <c r="F47" s="31"/>
      <c r="G47" s="26"/>
      <c r="H47" s="31"/>
      <c r="I47" s="26"/>
      <c r="J47" s="31">
        <f>SUM(J41:J46)</f>
        <v>0</v>
      </c>
      <c r="K47" s="26"/>
      <c r="L47" s="31">
        <f>SUM(L41:L46)</f>
        <v>-31938.800000000003</v>
      </c>
      <c r="M47" s="26"/>
      <c r="N47" s="31">
        <f>SUM(N41:N46)</f>
        <v>0</v>
      </c>
      <c r="O47" s="26"/>
      <c r="P47" s="31">
        <f>SUM(P41:P46)</f>
        <v>0</v>
      </c>
      <c r="Q47" s="26"/>
      <c r="R47" s="31">
        <f>SUM(R41:R46)</f>
        <v>0</v>
      </c>
      <c r="S47" s="26"/>
      <c r="T47" s="31">
        <f>SUM(T41:T46)</f>
        <v>-19561.14</v>
      </c>
      <c r="U47" s="26"/>
      <c r="V47" s="31">
        <v>0</v>
      </c>
      <c r="W47" s="26"/>
      <c r="X47" s="31">
        <v>0</v>
      </c>
      <c r="Y47" s="26"/>
      <c r="Z47" s="31">
        <f>SUM(Z41:Z46)</f>
        <v>0</v>
      </c>
      <c r="AA47" s="26"/>
      <c r="AB47" s="31">
        <f>SUM(AB41:AB46)</f>
        <v>33942.22</v>
      </c>
      <c r="AC47" s="26"/>
      <c r="AD47" s="31">
        <v>0</v>
      </c>
      <c r="AE47" s="26"/>
      <c r="AF47" s="31">
        <v>0</v>
      </c>
      <c r="AG47" s="26"/>
      <c r="AH47" s="31">
        <f>SUM(AH41:AH46)</f>
        <v>0</v>
      </c>
      <c r="AI47" s="26"/>
      <c r="AJ47" s="31">
        <f>SUM(AJ41:AJ46)</f>
        <v>17676.29</v>
      </c>
      <c r="AK47" s="26"/>
      <c r="AL47" s="31">
        <f>SUM(AL41:AL46)</f>
        <v>0</v>
      </c>
      <c r="AM47" s="26"/>
      <c r="AN47" s="31">
        <f>SUM(AN41:AN46)</f>
        <v>0</v>
      </c>
      <c r="AO47" s="26"/>
      <c r="AP47" s="31">
        <f>SUM(AP41:AP46)</f>
        <v>0</v>
      </c>
      <c r="AQ47" s="26"/>
      <c r="AR47" s="31">
        <f>SUM(AR41:AR46)</f>
        <v>3329.5200000000004</v>
      </c>
      <c r="AS47" s="26"/>
      <c r="AT47" s="31">
        <f>SUM(AT41:AT46)</f>
        <v>0</v>
      </c>
      <c r="AU47" s="26"/>
      <c r="AV47" s="31">
        <f>SUM(AV41:AV46)</f>
        <v>0</v>
      </c>
      <c r="AW47" s="26"/>
      <c r="AX47" s="31">
        <f>SUM(AX41:AX46)</f>
        <v>0</v>
      </c>
      <c r="AY47" s="26"/>
      <c r="AZ47" s="31">
        <f>SUM(AZ41:AZ46)</f>
        <v>7513.0300000000007</v>
      </c>
      <c r="BA47" s="26"/>
      <c r="BB47" s="31">
        <f>SUM(BB41:BB46)</f>
        <v>0</v>
      </c>
      <c r="BC47" s="26"/>
      <c r="BD47" s="31">
        <f>SUM(BD41:BD46)</f>
        <v>0</v>
      </c>
      <c r="BE47" s="26"/>
      <c r="BF47" s="31">
        <f>SUM(BF41:BF46)</f>
        <v>0</v>
      </c>
      <c r="BG47" s="26"/>
      <c r="BH47" s="31">
        <f>SUM(BH41:BH46)</f>
        <v>-12396.279999999999</v>
      </c>
      <c r="BI47" s="26"/>
      <c r="BJ47" s="31">
        <f>SUM(BJ41:BJ46)</f>
        <v>0</v>
      </c>
      <c r="BK47" s="26"/>
      <c r="BL47" s="31">
        <f>SUM(BL41:BL46)</f>
        <v>0</v>
      </c>
      <c r="BM47" s="26"/>
      <c r="BN47" s="31">
        <f>SUM(BN41:BN46)</f>
        <v>0</v>
      </c>
      <c r="BO47" s="26"/>
      <c r="BP47" s="31">
        <f>SUM(BP41:BP46)</f>
        <v>0</v>
      </c>
      <c r="BQ47" s="26"/>
      <c r="BR47" s="31">
        <f>SUM(BR41:BR46)</f>
        <v>0</v>
      </c>
      <c r="BS47" s="26"/>
      <c r="BT47" s="31">
        <f>SUM(BT41:BT46)</f>
        <v>0</v>
      </c>
      <c r="BU47" s="26"/>
      <c r="BV47" s="31">
        <f>SUM(BV41:BV46)</f>
        <v>5713.7900000000009</v>
      </c>
      <c r="BW47" s="26"/>
      <c r="BX47" s="31">
        <f>SUM(BX41:BX46)</f>
        <v>0</v>
      </c>
      <c r="BY47" s="26"/>
      <c r="BZ47" s="31">
        <f>SUM(BZ41:BZ46)</f>
        <v>0</v>
      </c>
      <c r="CA47" s="26"/>
      <c r="CB47" s="31">
        <f>SUM(CB41:CB46)</f>
        <v>0</v>
      </c>
      <c r="CC47" s="26"/>
      <c r="CD47" s="31">
        <f>SUM(CD41:CD46)</f>
        <v>4324.5</v>
      </c>
      <c r="CE47" s="26"/>
      <c r="CF47" s="31">
        <f>SUM(CF41:CF46)</f>
        <v>0</v>
      </c>
      <c r="CG47" s="26"/>
      <c r="CH47" s="31">
        <f>SUM(CH41:CH46)</f>
        <v>0</v>
      </c>
      <c r="CI47" s="26"/>
      <c r="CJ47" s="31">
        <f>SUM(CJ41:CJ46)</f>
        <v>0</v>
      </c>
      <c r="CK47" s="26"/>
      <c r="CL47" s="31">
        <f>SUM(CL41:CL46)</f>
        <v>-8972.89</v>
      </c>
      <c r="CM47" s="26"/>
      <c r="CN47" s="31">
        <f>SUM(CN41:CN46)</f>
        <v>0</v>
      </c>
      <c r="CO47" s="26"/>
      <c r="CP47" s="31">
        <f>SUM(CP41:CP46)</f>
        <v>0</v>
      </c>
      <c r="CQ47" s="26"/>
      <c r="CR47" s="31">
        <f>SUM(CR41:CR46)</f>
        <v>0</v>
      </c>
      <c r="CS47" s="26"/>
      <c r="CT47" s="31">
        <f>SUM(CT41:CT46)</f>
        <v>269.06580000000002</v>
      </c>
      <c r="CU47" s="26"/>
      <c r="CV47" s="31">
        <f>SUM(CV41:CV46)</f>
        <v>0</v>
      </c>
      <c r="CW47" s="8"/>
      <c r="CX47" s="31">
        <f>SUM(CX41:CX46)</f>
        <v>0</v>
      </c>
      <c r="CZ47" s="31">
        <f>SUM(CZ41:CZ46)</f>
        <v>709.42230000000006</v>
      </c>
      <c r="DA47" s="26"/>
      <c r="DB47" s="31">
        <f>SUM(DB41:DB46)</f>
        <v>9695.7099999999991</v>
      </c>
      <c r="DC47" s="75"/>
      <c r="DD47" s="31"/>
      <c r="DF47" s="31"/>
      <c r="DH47" s="31"/>
      <c r="DJ47" s="31">
        <f>SUM(DJ41:DJ46)</f>
        <v>0</v>
      </c>
      <c r="DL47" s="31">
        <f>SUM(DL41:DL46)</f>
        <v>-31938.800000000003</v>
      </c>
      <c r="DN47" s="31">
        <f>SUM(DN41:DN46)</f>
        <v>0</v>
      </c>
      <c r="DP47" s="31">
        <f>SUM(DP41:DP46)</f>
        <v>0</v>
      </c>
      <c r="DR47" s="31">
        <f>SUM(DR41:DR46)</f>
        <v>0</v>
      </c>
      <c r="DT47" s="31">
        <f>SUM(DT41:DT46)</f>
        <v>-19561.14</v>
      </c>
      <c r="DV47" s="31">
        <f>SUM(DV41:DV46)</f>
        <v>0</v>
      </c>
      <c r="DX47" s="31">
        <f>SUM(DX41:DX46)</f>
        <v>0</v>
      </c>
      <c r="DZ47" s="31">
        <f>SUM(DZ41:DZ46)</f>
        <v>0</v>
      </c>
      <c r="EB47" s="31">
        <f>SUM(EB41:EB46)</f>
        <v>33942.22</v>
      </c>
      <c r="ED47" s="31">
        <f>SUM(ED41:ED46)</f>
        <v>0</v>
      </c>
      <c r="EF47" s="31">
        <f>SUM(EF41:EF46)</f>
        <v>0</v>
      </c>
      <c r="EH47" s="31">
        <f>SUM(EH41:EH46)</f>
        <v>0</v>
      </c>
      <c r="EJ47" s="31">
        <f>SUM(EJ41:EJ46)</f>
        <v>21822.58</v>
      </c>
      <c r="EL47" s="31">
        <f>SUM(EL41:EL46)</f>
        <v>0</v>
      </c>
      <c r="EN47" s="31">
        <f>SUM(EN41:EN46)</f>
        <v>0</v>
      </c>
      <c r="EP47" s="31">
        <f>SUM(EP41:EP46)</f>
        <v>0</v>
      </c>
      <c r="ER47" s="31">
        <f>SUM(ER41:ER46)</f>
        <v>3329.5200000000004</v>
      </c>
      <c r="ET47" s="31">
        <f>SUM(ET41:ET46)</f>
        <v>0</v>
      </c>
      <c r="EV47" s="31">
        <f>SUM(EV41:EV46)</f>
        <v>0</v>
      </c>
      <c r="EX47" s="31">
        <f>SUM(EX41:EX46)</f>
        <v>0</v>
      </c>
      <c r="EZ47" s="31">
        <f>SUM(EZ41:EZ46)</f>
        <v>7513.0300000000007</v>
      </c>
      <c r="FB47" s="31">
        <f>SUM(FB41:FB46)</f>
        <v>0</v>
      </c>
      <c r="FD47" s="31">
        <f>SUM(FD41:FD46)</f>
        <v>0</v>
      </c>
      <c r="FF47" s="31">
        <f>SUM(FF41:FF46)</f>
        <v>0</v>
      </c>
      <c r="FH47" s="31">
        <f>SUM(FH41:FH46)</f>
        <v>-12396.279999999999</v>
      </c>
      <c r="FJ47" s="31">
        <f>SUM(FJ41:FJ46)</f>
        <v>0</v>
      </c>
      <c r="FL47" s="31">
        <f>SUM(FL41:FL46)</f>
        <v>0</v>
      </c>
      <c r="FN47" s="31">
        <f>SUM(FN41:FN46)</f>
        <v>0</v>
      </c>
      <c r="FP47" s="31">
        <f>SUM(FP41:FP46)</f>
        <v>0</v>
      </c>
      <c r="FR47" s="31">
        <f>SUM(FR41:FR46)</f>
        <v>0</v>
      </c>
      <c r="FT47" s="31">
        <f>SUM(FT41:FT46)</f>
        <v>0</v>
      </c>
      <c r="FV47" s="31">
        <f>SUM(FV41:FV46)</f>
        <v>5713.7900000000009</v>
      </c>
      <c r="FX47" s="31">
        <f>SUM(FX41:FX46)</f>
        <v>0</v>
      </c>
      <c r="FZ47" s="31">
        <f>SUM(FZ41:FZ46)</f>
        <v>0</v>
      </c>
      <c r="GB47" s="31">
        <f>SUM(GB41:GB46)</f>
        <v>0</v>
      </c>
      <c r="GD47" s="31">
        <f>SUM(GD41:GD46)</f>
        <v>4324.5</v>
      </c>
      <c r="GF47" s="31">
        <f>SUM(GF41:GF46)</f>
        <v>0</v>
      </c>
      <c r="GH47" s="31">
        <f>SUM(GH41:GH46)</f>
        <v>0</v>
      </c>
      <c r="GJ47" s="31">
        <f>SUM(GJ41:GJ46)</f>
        <v>0</v>
      </c>
      <c r="GL47" s="31">
        <f>SUM(GL41:GL46)</f>
        <v>-8972.89</v>
      </c>
      <c r="GN47" s="31">
        <f>SUM(GN41:GN46)</f>
        <v>0</v>
      </c>
      <c r="GP47" s="31">
        <f>SUM(GP41:GP46)</f>
        <v>0</v>
      </c>
      <c r="GR47" s="31">
        <f>SUM(GR41:GR46)</f>
        <v>0</v>
      </c>
      <c r="GT47" s="31">
        <f>SUM(GT41:GT46)</f>
        <v>269.06580000000002</v>
      </c>
      <c r="GV47" s="31">
        <f>SUM(GV41:GV46)</f>
        <v>0</v>
      </c>
    </row>
    <row r="48" spans="2:204" ht="10.5">
      <c r="B48" s="200"/>
      <c r="C48" s="25"/>
      <c r="D48" s="29"/>
      <c r="E48" s="25"/>
      <c r="F48" s="29"/>
      <c r="G48" s="25"/>
      <c r="H48" s="29"/>
      <c r="I48" s="25"/>
      <c r="J48" s="29"/>
      <c r="K48" s="25"/>
      <c r="L48" s="29"/>
      <c r="M48" s="25"/>
      <c r="N48" s="29"/>
      <c r="O48" s="25"/>
      <c r="P48" s="29"/>
      <c r="Q48" s="25"/>
      <c r="R48" s="29"/>
      <c r="S48" s="25"/>
      <c r="T48" s="29"/>
      <c r="U48" s="25"/>
      <c r="V48" s="29"/>
      <c r="W48" s="25"/>
      <c r="X48" s="29"/>
      <c r="Y48" s="25"/>
      <c r="Z48" s="29"/>
      <c r="AA48" s="25"/>
      <c r="AB48" s="29"/>
      <c r="AC48" s="25"/>
      <c r="AD48" s="29"/>
      <c r="AE48" s="25"/>
      <c r="AF48" s="29"/>
      <c r="AG48" s="25"/>
      <c r="AH48" s="29"/>
      <c r="AI48" s="25"/>
      <c r="AJ48" s="29"/>
      <c r="AK48" s="25"/>
      <c r="AL48" s="29"/>
      <c r="AM48" s="25"/>
      <c r="AN48" s="29"/>
      <c r="AO48" s="25"/>
      <c r="AP48" s="29"/>
      <c r="AQ48" s="25"/>
      <c r="AR48" s="29"/>
      <c r="AS48" s="25"/>
      <c r="AT48" s="29"/>
      <c r="AU48" s="25"/>
      <c r="AV48" s="29"/>
      <c r="AW48" s="25"/>
      <c r="AX48" s="29"/>
      <c r="AY48" s="25"/>
      <c r="AZ48" s="29"/>
      <c r="BA48" s="25"/>
      <c r="BB48" s="29"/>
      <c r="BC48" s="25"/>
      <c r="BD48" s="29"/>
      <c r="BE48" s="25"/>
      <c r="BF48" s="29"/>
      <c r="BG48" s="25"/>
      <c r="BH48" s="29"/>
      <c r="BI48" s="25"/>
      <c r="BJ48" s="29"/>
      <c r="BK48" s="25"/>
      <c r="BL48" s="29"/>
      <c r="BM48" s="25"/>
      <c r="BN48" s="29"/>
      <c r="BO48" s="25"/>
      <c r="BP48" s="29"/>
      <c r="BQ48" s="25"/>
      <c r="BR48" s="29"/>
      <c r="BS48" s="25"/>
      <c r="BT48" s="29"/>
      <c r="BU48" s="25"/>
      <c r="BV48" s="29"/>
      <c r="BW48" s="25"/>
      <c r="BX48" s="29"/>
      <c r="BY48" s="25"/>
      <c r="BZ48" s="29"/>
      <c r="CA48" s="25"/>
      <c r="CB48" s="29"/>
      <c r="CC48" s="25"/>
      <c r="CD48" s="29"/>
      <c r="CE48" s="25"/>
      <c r="CF48" s="29"/>
      <c r="CG48" s="25"/>
      <c r="CH48" s="29"/>
      <c r="CI48" s="25"/>
      <c r="CJ48" s="29"/>
      <c r="CK48" s="25"/>
      <c r="CL48" s="29"/>
      <c r="CM48" s="25"/>
      <c r="CN48" s="29"/>
      <c r="CO48" s="25"/>
      <c r="CP48" s="29"/>
      <c r="CQ48" s="25"/>
      <c r="CR48" s="29"/>
      <c r="CS48" s="25"/>
      <c r="CT48" s="29"/>
      <c r="CU48" s="25"/>
      <c r="CV48" s="29"/>
      <c r="CW48" s="8"/>
      <c r="CX48" s="29"/>
      <c r="CZ48" s="29"/>
      <c r="DA48" s="25"/>
      <c r="DB48" s="29"/>
      <c r="DC48" s="78"/>
      <c r="DD48" s="29"/>
      <c r="DF48" s="29"/>
      <c r="DH48" s="29"/>
      <c r="DJ48" s="29"/>
      <c r="DL48" s="29"/>
      <c r="DN48" s="29"/>
      <c r="DP48" s="29"/>
      <c r="DR48" s="29"/>
      <c r="DT48" s="29"/>
      <c r="DV48" s="29"/>
      <c r="DX48" s="29"/>
      <c r="DZ48" s="29"/>
      <c r="EB48" s="29"/>
      <c r="ED48" s="29"/>
      <c r="EF48" s="29"/>
      <c r="EH48" s="29"/>
      <c r="EJ48" s="29"/>
      <c r="EL48" s="29"/>
      <c r="EN48" s="29"/>
      <c r="EP48" s="29"/>
      <c r="ER48" s="29"/>
      <c r="ET48" s="29"/>
      <c r="EV48" s="29"/>
      <c r="EX48" s="29"/>
      <c r="EZ48" s="29"/>
      <c r="FB48" s="29"/>
      <c r="FD48" s="29"/>
      <c r="FF48" s="29"/>
      <c r="FH48" s="29"/>
      <c r="FJ48" s="29"/>
      <c r="FL48" s="29"/>
      <c r="FN48" s="29"/>
      <c r="FP48" s="29"/>
      <c r="FR48" s="29"/>
      <c r="FT48" s="29"/>
      <c r="FV48" s="29"/>
      <c r="FX48" s="29"/>
      <c r="FZ48" s="29"/>
      <c r="GB48" s="29"/>
      <c r="GD48" s="29"/>
      <c r="GF48" s="29"/>
      <c r="GH48" s="29"/>
      <c r="GJ48" s="29"/>
      <c r="GL48" s="29"/>
      <c r="GN48" s="29"/>
      <c r="GP48" s="29"/>
      <c r="GR48" s="29"/>
      <c r="GT48" s="29"/>
      <c r="GV48" s="29"/>
    </row>
    <row r="49" spans="2:204" ht="21">
      <c r="B49" s="197" t="s">
        <v>175</v>
      </c>
      <c r="C49" s="26"/>
      <c r="D49" s="29"/>
      <c r="E49" s="26"/>
      <c r="F49" s="29"/>
      <c r="G49" s="26"/>
      <c r="H49" s="29"/>
      <c r="I49" s="26"/>
      <c r="J49" s="29"/>
      <c r="K49" s="26"/>
      <c r="L49" s="29"/>
      <c r="M49" s="26"/>
      <c r="N49" s="29"/>
      <c r="O49" s="26"/>
      <c r="P49" s="29"/>
      <c r="Q49" s="26"/>
      <c r="R49" s="29"/>
      <c r="S49" s="26"/>
      <c r="T49" s="29"/>
      <c r="U49" s="26"/>
      <c r="V49" s="29"/>
      <c r="W49" s="26"/>
      <c r="X49" s="29"/>
      <c r="Y49" s="26"/>
      <c r="Z49" s="29"/>
      <c r="AA49" s="26"/>
      <c r="AB49" s="29"/>
      <c r="AC49" s="26"/>
      <c r="AD49" s="29"/>
      <c r="AE49" s="26"/>
      <c r="AF49" s="29"/>
      <c r="AG49" s="26"/>
      <c r="AH49" s="29"/>
      <c r="AI49" s="26"/>
      <c r="AJ49" s="29"/>
      <c r="AK49" s="26"/>
      <c r="AL49" s="29"/>
      <c r="AM49" s="26"/>
      <c r="AN49" s="29"/>
      <c r="AO49" s="26"/>
      <c r="AP49" s="29"/>
      <c r="AQ49" s="26"/>
      <c r="AR49" s="29"/>
      <c r="AS49" s="26"/>
      <c r="AT49" s="29"/>
      <c r="AU49" s="26"/>
      <c r="AV49" s="29"/>
      <c r="AW49" s="26"/>
      <c r="AX49" s="29"/>
      <c r="AY49" s="26"/>
      <c r="AZ49" s="29"/>
      <c r="BA49" s="26"/>
      <c r="BB49" s="29"/>
      <c r="BC49" s="26"/>
      <c r="BD49" s="29"/>
      <c r="BE49" s="26"/>
      <c r="BF49" s="29"/>
      <c r="BG49" s="26"/>
      <c r="BH49" s="29"/>
      <c r="BI49" s="26"/>
      <c r="BJ49" s="29"/>
      <c r="BK49" s="26"/>
      <c r="BL49" s="29"/>
      <c r="BM49" s="26"/>
      <c r="BN49" s="29"/>
      <c r="BO49" s="26"/>
      <c r="BP49" s="29"/>
      <c r="BQ49" s="26"/>
      <c r="BR49" s="29"/>
      <c r="BS49" s="26"/>
      <c r="BT49" s="29"/>
      <c r="BU49" s="26"/>
      <c r="BV49" s="29"/>
      <c r="BW49" s="26"/>
      <c r="BX49" s="29"/>
      <c r="BY49" s="26"/>
      <c r="BZ49" s="29"/>
      <c r="CA49" s="26"/>
      <c r="CB49" s="29"/>
      <c r="CC49" s="26"/>
      <c r="CD49" s="29"/>
      <c r="CE49" s="26"/>
      <c r="CF49" s="29"/>
      <c r="CG49" s="26"/>
      <c r="CH49" s="29"/>
      <c r="CI49" s="26"/>
      <c r="CJ49" s="29"/>
      <c r="CK49" s="26"/>
      <c r="CL49" s="29"/>
      <c r="CM49" s="26"/>
      <c r="CN49" s="29"/>
      <c r="CO49" s="26"/>
      <c r="CP49" s="29"/>
      <c r="CQ49" s="26"/>
      <c r="CR49" s="29"/>
      <c r="CS49" s="26"/>
      <c r="CT49" s="29"/>
      <c r="CU49" s="26"/>
      <c r="CV49" s="29"/>
      <c r="CW49" s="26"/>
      <c r="CX49" s="29"/>
      <c r="CZ49" s="29"/>
      <c r="DA49" s="26"/>
      <c r="DB49" s="29"/>
      <c r="DC49" s="75"/>
      <c r="DD49" s="29"/>
      <c r="DF49" s="29"/>
      <c r="DH49" s="29"/>
      <c r="DJ49" s="29">
        <f t="shared" ref="DJ49:DJ54" si="64">J49</f>
        <v>0</v>
      </c>
      <c r="DL49" s="29">
        <f t="shared" ref="DL49:DR54" si="65">L49</f>
        <v>0</v>
      </c>
      <c r="DN49" s="29">
        <f t="shared" si="65"/>
        <v>0</v>
      </c>
      <c r="DP49" s="29">
        <f t="shared" si="65"/>
        <v>0</v>
      </c>
      <c r="DR49" s="29">
        <f t="shared" si="65"/>
        <v>0</v>
      </c>
      <c r="DT49" s="29">
        <f t="shared" ref="DT49:DX53" si="66">T49-V49</f>
        <v>0</v>
      </c>
      <c r="DV49" s="29">
        <f t="shared" si="66"/>
        <v>0</v>
      </c>
      <c r="DX49" s="29">
        <f t="shared" si="66"/>
        <v>0</v>
      </c>
      <c r="DZ49" s="29">
        <f t="shared" ref="DZ49:DZ53" si="67">Z49</f>
        <v>0</v>
      </c>
      <c r="EB49" s="29">
        <f t="shared" ref="EB49:EF53" si="68">AB49-AD49</f>
        <v>0</v>
      </c>
      <c r="ED49" s="29">
        <f t="shared" si="68"/>
        <v>0</v>
      </c>
      <c r="EF49" s="29">
        <f t="shared" si="68"/>
        <v>0</v>
      </c>
      <c r="EH49" s="29">
        <f t="shared" ref="EH49:EH53" si="69">AH49</f>
        <v>0</v>
      </c>
      <c r="EJ49" s="29">
        <f t="shared" ref="EJ49:EJ53" si="70">AJ49-AL49</f>
        <v>0</v>
      </c>
      <c r="EL49" s="29"/>
      <c r="EN49" s="29"/>
      <c r="EP49" s="29"/>
      <c r="ER49" s="29"/>
      <c r="ET49" s="29"/>
      <c r="EV49" s="29"/>
      <c r="EX49" s="29"/>
      <c r="EZ49" s="29"/>
      <c r="FB49" s="29"/>
      <c r="FD49" s="29"/>
      <c r="FF49" s="29"/>
      <c r="FH49" s="29"/>
      <c r="FJ49" s="29"/>
      <c r="FL49" s="29"/>
      <c r="FN49" s="29"/>
      <c r="FP49" s="29"/>
      <c r="FR49" s="29"/>
      <c r="FT49" s="29"/>
      <c r="FV49" s="29"/>
      <c r="FX49" s="29"/>
      <c r="FZ49" s="29"/>
      <c r="GB49" s="29"/>
      <c r="GD49" s="29"/>
      <c r="GF49" s="29"/>
      <c r="GH49" s="29"/>
      <c r="GJ49" s="29"/>
      <c r="GL49" s="29"/>
      <c r="GN49" s="29"/>
      <c r="GP49" s="29"/>
      <c r="GR49" s="29"/>
      <c r="GT49" s="29"/>
      <c r="GV49" s="29"/>
    </row>
    <row r="50" spans="2:204" ht="10.5">
      <c r="B50" s="198" t="s">
        <v>176</v>
      </c>
      <c r="C50" s="26"/>
      <c r="D50" s="29"/>
      <c r="E50" s="26"/>
      <c r="F50" s="29"/>
      <c r="G50" s="26"/>
      <c r="H50" s="29"/>
      <c r="I50" s="26"/>
      <c r="J50" s="29"/>
      <c r="K50" s="26"/>
      <c r="L50" s="29"/>
      <c r="M50" s="26"/>
      <c r="N50" s="29"/>
      <c r="O50" s="26"/>
      <c r="P50" s="29"/>
      <c r="Q50" s="26"/>
      <c r="R50" s="29"/>
      <c r="S50" s="26"/>
      <c r="T50" s="29"/>
      <c r="U50" s="26"/>
      <c r="V50" s="29"/>
      <c r="W50" s="26"/>
      <c r="X50" s="29"/>
      <c r="Y50" s="26"/>
      <c r="Z50" s="29"/>
      <c r="AA50" s="26"/>
      <c r="AB50" s="29"/>
      <c r="AC50" s="26"/>
      <c r="AD50" s="29"/>
      <c r="AE50" s="26"/>
      <c r="AF50" s="29"/>
      <c r="AG50" s="26"/>
      <c r="AH50" s="29"/>
      <c r="AI50" s="26"/>
      <c r="AJ50" s="29"/>
      <c r="AK50" s="26"/>
      <c r="AL50" s="29"/>
      <c r="AM50" s="26"/>
      <c r="AN50" s="29"/>
      <c r="AO50" s="26"/>
      <c r="AP50" s="29"/>
      <c r="AQ50" s="26"/>
      <c r="AR50" s="29"/>
      <c r="AS50" s="26"/>
      <c r="AT50" s="29"/>
      <c r="AU50" s="26"/>
      <c r="AV50" s="29"/>
      <c r="AW50" s="26"/>
      <c r="AX50" s="29"/>
      <c r="AY50" s="26"/>
      <c r="AZ50" s="29"/>
      <c r="BA50" s="26"/>
      <c r="BB50" s="29"/>
      <c r="BC50" s="26"/>
      <c r="BD50" s="29"/>
      <c r="BE50" s="26"/>
      <c r="BF50" s="29"/>
      <c r="BG50" s="26"/>
      <c r="BH50" s="29"/>
      <c r="BI50" s="26"/>
      <c r="BJ50" s="29"/>
      <c r="BK50" s="26"/>
      <c r="BL50" s="29"/>
      <c r="BM50" s="26"/>
      <c r="BN50" s="29">
        <v>0</v>
      </c>
      <c r="BO50" s="26"/>
      <c r="BP50" s="29">
        <v>0</v>
      </c>
      <c r="BQ50" s="26"/>
      <c r="BR50" s="29"/>
      <c r="BS50" s="26"/>
      <c r="BT50" s="29"/>
      <c r="BU50" s="26"/>
      <c r="BV50" s="29"/>
      <c r="BW50" s="26"/>
      <c r="BX50" s="29"/>
      <c r="BY50" s="26"/>
      <c r="BZ50" s="29"/>
      <c r="CA50" s="26"/>
      <c r="CB50" s="29"/>
      <c r="CC50" s="26"/>
      <c r="CD50" s="29"/>
      <c r="CE50" s="26"/>
      <c r="CF50" s="29"/>
      <c r="CG50" s="26"/>
      <c r="CH50" s="29"/>
      <c r="CI50" s="26"/>
      <c r="CJ50" s="29"/>
      <c r="CK50" s="26"/>
      <c r="CL50" s="29">
        <v>0</v>
      </c>
      <c r="CM50" s="26"/>
      <c r="CN50" s="29"/>
      <c r="CO50" s="26"/>
      <c r="CP50" s="29"/>
      <c r="CQ50" s="26"/>
      <c r="CR50" s="29"/>
      <c r="CS50" s="26"/>
      <c r="CT50" s="29"/>
      <c r="CU50" s="26"/>
      <c r="CV50" s="29"/>
      <c r="CW50" s="25"/>
      <c r="CX50" s="29"/>
      <c r="CZ50" s="29"/>
      <c r="DA50" s="26"/>
      <c r="DB50" s="29"/>
      <c r="DC50" s="75"/>
      <c r="DD50" s="29"/>
      <c r="DF50" s="29"/>
      <c r="DH50" s="29"/>
      <c r="DJ50" s="29">
        <f t="shared" si="64"/>
        <v>0</v>
      </c>
      <c r="DL50" s="29">
        <f t="shared" si="65"/>
        <v>0</v>
      </c>
      <c r="DN50" s="29">
        <f t="shared" si="65"/>
        <v>0</v>
      </c>
      <c r="DP50" s="29">
        <f t="shared" si="65"/>
        <v>0</v>
      </c>
      <c r="DR50" s="29">
        <f t="shared" si="65"/>
        <v>0</v>
      </c>
      <c r="DT50" s="29">
        <f t="shared" si="66"/>
        <v>0</v>
      </c>
      <c r="DV50" s="29">
        <f t="shared" si="66"/>
        <v>0</v>
      </c>
      <c r="DX50" s="29">
        <f t="shared" si="66"/>
        <v>0</v>
      </c>
      <c r="DZ50" s="29">
        <f t="shared" si="67"/>
        <v>0</v>
      </c>
      <c r="EB50" s="29">
        <f t="shared" si="68"/>
        <v>0</v>
      </c>
      <c r="ED50" s="29">
        <f t="shared" si="68"/>
        <v>0</v>
      </c>
      <c r="EF50" s="29">
        <f t="shared" si="68"/>
        <v>0</v>
      </c>
      <c r="EH50" s="29">
        <f t="shared" si="69"/>
        <v>0</v>
      </c>
      <c r="EJ50" s="29">
        <f t="shared" si="70"/>
        <v>0</v>
      </c>
      <c r="EL50" s="29"/>
      <c r="EN50" s="29"/>
      <c r="EP50" s="29"/>
      <c r="ER50" s="29"/>
      <c r="ET50" s="29"/>
      <c r="EV50" s="29"/>
      <c r="EX50" s="29"/>
      <c r="EZ50" s="29"/>
      <c r="FB50" s="29"/>
      <c r="FD50" s="29"/>
      <c r="FF50" s="29"/>
      <c r="FH50" s="29"/>
      <c r="FJ50" s="29"/>
      <c r="FL50" s="29"/>
      <c r="FN50" s="29"/>
      <c r="FP50" s="29"/>
      <c r="FR50" s="29"/>
      <c r="FT50" s="29"/>
      <c r="FV50" s="29"/>
      <c r="FX50" s="29"/>
      <c r="FZ50" s="29"/>
      <c r="GB50" s="29"/>
      <c r="GD50" s="29"/>
      <c r="GF50" s="29"/>
      <c r="GH50" s="29"/>
      <c r="GJ50" s="29"/>
      <c r="GL50" s="29"/>
      <c r="GN50" s="29"/>
      <c r="GP50" s="29"/>
      <c r="GR50" s="29"/>
      <c r="GT50" s="29"/>
      <c r="GV50" s="29"/>
    </row>
    <row r="51" spans="2:204" ht="10.5">
      <c r="B51" s="198" t="s">
        <v>172</v>
      </c>
      <c r="C51" s="26"/>
      <c r="D51" s="29"/>
      <c r="E51" s="26"/>
      <c r="F51" s="29"/>
      <c r="G51" s="26"/>
      <c r="H51" s="29"/>
      <c r="I51" s="26"/>
      <c r="J51" s="29"/>
      <c r="K51" s="26"/>
      <c r="L51" s="29"/>
      <c r="M51" s="26"/>
      <c r="N51" s="29"/>
      <c r="O51" s="26"/>
      <c r="P51" s="29"/>
      <c r="Q51" s="26"/>
      <c r="R51" s="29"/>
      <c r="S51" s="26"/>
      <c r="T51" s="29"/>
      <c r="U51" s="26"/>
      <c r="V51" s="29"/>
      <c r="W51" s="26"/>
      <c r="X51" s="29"/>
      <c r="Y51" s="26"/>
      <c r="Z51" s="29"/>
      <c r="AA51" s="26"/>
      <c r="AB51" s="29"/>
      <c r="AC51" s="26"/>
      <c r="AD51" s="29"/>
      <c r="AE51" s="26"/>
      <c r="AF51" s="29"/>
      <c r="AG51" s="26"/>
      <c r="AH51" s="29"/>
      <c r="AI51" s="26"/>
      <c r="AJ51" s="29"/>
      <c r="AK51" s="26"/>
      <c r="AL51" s="29"/>
      <c r="AM51" s="26"/>
      <c r="AN51" s="29"/>
      <c r="AO51" s="26"/>
      <c r="AP51" s="29"/>
      <c r="AQ51" s="26"/>
      <c r="AR51" s="29"/>
      <c r="AS51" s="26"/>
      <c r="AT51" s="29"/>
      <c r="AU51" s="26"/>
      <c r="AV51" s="29"/>
      <c r="AW51" s="26"/>
      <c r="AX51" s="29"/>
      <c r="AY51" s="26"/>
      <c r="AZ51" s="29"/>
      <c r="BA51" s="26"/>
      <c r="BB51" s="29"/>
      <c r="BC51" s="26"/>
      <c r="BD51" s="29"/>
      <c r="BE51" s="26"/>
      <c r="BF51" s="29"/>
      <c r="BG51" s="26"/>
      <c r="BH51" s="29"/>
      <c r="BI51" s="26"/>
      <c r="BJ51" s="29"/>
      <c r="BK51" s="26"/>
      <c r="BL51" s="29"/>
      <c r="BM51" s="26"/>
      <c r="BN51" s="29">
        <v>0</v>
      </c>
      <c r="BO51" s="26"/>
      <c r="BP51" s="29">
        <v>0</v>
      </c>
      <c r="BQ51" s="26"/>
      <c r="BR51" s="29"/>
      <c r="BS51" s="26"/>
      <c r="BT51" s="29"/>
      <c r="BU51" s="26"/>
      <c r="BV51" s="29"/>
      <c r="BW51" s="26"/>
      <c r="BX51" s="29"/>
      <c r="BY51" s="26"/>
      <c r="BZ51" s="29"/>
      <c r="CA51" s="26"/>
      <c r="CB51" s="29"/>
      <c r="CC51" s="26"/>
      <c r="CD51" s="29"/>
      <c r="CE51" s="26"/>
      <c r="CF51" s="29"/>
      <c r="CG51" s="26"/>
      <c r="CH51" s="29"/>
      <c r="CI51" s="26"/>
      <c r="CJ51" s="29"/>
      <c r="CK51" s="26"/>
      <c r="CL51" s="29">
        <v>0</v>
      </c>
      <c r="CM51" s="26"/>
      <c r="CN51" s="29"/>
      <c r="CO51" s="26"/>
      <c r="CP51" s="29"/>
      <c r="CQ51" s="26"/>
      <c r="CR51" s="29"/>
      <c r="CS51" s="26"/>
      <c r="CT51" s="29"/>
      <c r="CU51" s="26"/>
      <c r="CV51" s="29"/>
      <c r="CW51" s="26"/>
      <c r="CX51" s="29"/>
      <c r="CZ51" s="29"/>
      <c r="DA51" s="26"/>
      <c r="DB51" s="29"/>
      <c r="DC51" s="75"/>
      <c r="DD51" s="29"/>
      <c r="DF51" s="29"/>
      <c r="DH51" s="29"/>
      <c r="DJ51" s="29">
        <f t="shared" si="64"/>
        <v>0</v>
      </c>
      <c r="DL51" s="29">
        <f t="shared" si="65"/>
        <v>0</v>
      </c>
      <c r="DN51" s="29">
        <f t="shared" si="65"/>
        <v>0</v>
      </c>
      <c r="DP51" s="29">
        <f t="shared" si="65"/>
        <v>0</v>
      </c>
      <c r="DR51" s="29">
        <f t="shared" si="65"/>
        <v>0</v>
      </c>
      <c r="DT51" s="29">
        <f t="shared" si="66"/>
        <v>0</v>
      </c>
      <c r="DV51" s="29">
        <f t="shared" si="66"/>
        <v>0</v>
      </c>
      <c r="DX51" s="29">
        <f t="shared" si="66"/>
        <v>0</v>
      </c>
      <c r="DZ51" s="29">
        <f t="shared" si="67"/>
        <v>0</v>
      </c>
      <c r="EB51" s="29">
        <f t="shared" si="68"/>
        <v>0</v>
      </c>
      <c r="ED51" s="29">
        <f t="shared" si="68"/>
        <v>0</v>
      </c>
      <c r="EF51" s="29">
        <f t="shared" si="68"/>
        <v>0</v>
      </c>
      <c r="EH51" s="29">
        <f t="shared" si="69"/>
        <v>0</v>
      </c>
      <c r="EJ51" s="29">
        <f t="shared" si="70"/>
        <v>0</v>
      </c>
      <c r="EL51" s="29"/>
      <c r="EN51" s="29"/>
      <c r="EP51" s="29"/>
      <c r="ER51" s="29"/>
      <c r="ET51" s="29"/>
      <c r="EV51" s="29"/>
      <c r="EX51" s="29"/>
      <c r="EZ51" s="29"/>
      <c r="FB51" s="29"/>
      <c r="FD51" s="29"/>
      <c r="FF51" s="29"/>
      <c r="FH51" s="29"/>
      <c r="FJ51" s="29"/>
      <c r="FL51" s="29"/>
      <c r="FN51" s="29"/>
      <c r="FP51" s="29"/>
      <c r="FR51" s="29"/>
      <c r="FT51" s="29"/>
      <c r="FV51" s="29"/>
      <c r="FX51" s="29"/>
      <c r="FZ51" s="29"/>
      <c r="GB51" s="29"/>
      <c r="GD51" s="29"/>
      <c r="GF51" s="29"/>
      <c r="GH51" s="29"/>
      <c r="GJ51" s="29"/>
      <c r="GL51" s="29"/>
      <c r="GN51" s="29"/>
      <c r="GP51" s="29"/>
      <c r="GR51" s="29"/>
      <c r="GT51" s="29"/>
      <c r="GV51" s="29"/>
    </row>
    <row r="52" spans="2:204" ht="10.5">
      <c r="B52" s="198" t="s">
        <v>173</v>
      </c>
      <c r="C52" s="26"/>
      <c r="D52" s="29"/>
      <c r="E52" s="26"/>
      <c r="F52" s="29"/>
      <c r="G52" s="26"/>
      <c r="H52" s="29"/>
      <c r="I52" s="26"/>
      <c r="J52" s="29"/>
      <c r="K52" s="26"/>
      <c r="L52" s="29"/>
      <c r="M52" s="26"/>
      <c r="N52" s="29"/>
      <c r="O52" s="26"/>
      <c r="P52" s="29"/>
      <c r="Q52" s="26"/>
      <c r="R52" s="29"/>
      <c r="S52" s="26"/>
      <c r="T52" s="29"/>
      <c r="U52" s="26"/>
      <c r="V52" s="29"/>
      <c r="W52" s="26"/>
      <c r="X52" s="29"/>
      <c r="Y52" s="26"/>
      <c r="Z52" s="29"/>
      <c r="AA52" s="26"/>
      <c r="AB52" s="29"/>
      <c r="AC52" s="26"/>
      <c r="AD52" s="29"/>
      <c r="AE52" s="26"/>
      <c r="AF52" s="29"/>
      <c r="AG52" s="26"/>
      <c r="AH52" s="29"/>
      <c r="AI52" s="26"/>
      <c r="AJ52" s="29"/>
      <c r="AK52" s="26"/>
      <c r="AL52" s="29"/>
      <c r="AM52" s="26"/>
      <c r="AN52" s="29"/>
      <c r="AO52" s="26"/>
      <c r="AP52" s="29"/>
      <c r="AQ52" s="26"/>
      <c r="AR52" s="29"/>
      <c r="AS52" s="26"/>
      <c r="AT52" s="29"/>
      <c r="AU52" s="26"/>
      <c r="AV52" s="29"/>
      <c r="AW52" s="26"/>
      <c r="AX52" s="29"/>
      <c r="AY52" s="26"/>
      <c r="AZ52" s="29"/>
      <c r="BA52" s="26"/>
      <c r="BB52" s="29"/>
      <c r="BC52" s="26"/>
      <c r="BD52" s="29"/>
      <c r="BE52" s="26"/>
      <c r="BF52" s="29"/>
      <c r="BG52" s="26"/>
      <c r="BH52" s="29"/>
      <c r="BI52" s="26"/>
      <c r="BJ52" s="29"/>
      <c r="BK52" s="26"/>
      <c r="BL52" s="29"/>
      <c r="BM52" s="26"/>
      <c r="BN52" s="29">
        <v>0</v>
      </c>
      <c r="BO52" s="26"/>
      <c r="BP52" s="29">
        <v>0</v>
      </c>
      <c r="BQ52" s="26"/>
      <c r="BR52" s="29"/>
      <c r="BS52" s="26"/>
      <c r="BT52" s="29"/>
      <c r="BU52" s="26"/>
      <c r="BV52" s="29"/>
      <c r="BW52" s="26"/>
      <c r="BX52" s="29"/>
      <c r="BY52" s="26"/>
      <c r="BZ52" s="29"/>
      <c r="CA52" s="26"/>
      <c r="CB52" s="29"/>
      <c r="CC52" s="26"/>
      <c r="CD52" s="29"/>
      <c r="CE52" s="26"/>
      <c r="CF52" s="29"/>
      <c r="CG52" s="26"/>
      <c r="CH52" s="29"/>
      <c r="CI52" s="26"/>
      <c r="CJ52" s="29"/>
      <c r="CK52" s="26"/>
      <c r="CL52" s="29">
        <v>0</v>
      </c>
      <c r="CM52" s="26"/>
      <c r="CN52" s="29"/>
      <c r="CO52" s="26"/>
      <c r="CP52" s="29"/>
      <c r="CQ52" s="26"/>
      <c r="CR52" s="29"/>
      <c r="CS52" s="26"/>
      <c r="CT52" s="29"/>
      <c r="CU52" s="26"/>
      <c r="CV52" s="29"/>
      <c r="CW52" s="26"/>
      <c r="CX52" s="29"/>
      <c r="CZ52" s="29"/>
      <c r="DA52" s="26"/>
      <c r="DB52" s="29"/>
      <c r="DC52" s="75"/>
      <c r="DD52" s="29"/>
      <c r="DF52" s="29"/>
      <c r="DH52" s="29"/>
      <c r="DJ52" s="29">
        <f t="shared" si="64"/>
        <v>0</v>
      </c>
      <c r="DL52" s="29">
        <f t="shared" si="65"/>
        <v>0</v>
      </c>
      <c r="DN52" s="29">
        <f t="shared" si="65"/>
        <v>0</v>
      </c>
      <c r="DP52" s="29">
        <f t="shared" si="65"/>
        <v>0</v>
      </c>
      <c r="DR52" s="29">
        <f t="shared" si="65"/>
        <v>0</v>
      </c>
      <c r="DT52" s="29">
        <f t="shared" si="66"/>
        <v>0</v>
      </c>
      <c r="DV52" s="29">
        <f t="shared" si="66"/>
        <v>0</v>
      </c>
      <c r="DX52" s="29">
        <f t="shared" si="66"/>
        <v>0</v>
      </c>
      <c r="DZ52" s="29">
        <f t="shared" si="67"/>
        <v>0</v>
      </c>
      <c r="EB52" s="29">
        <f t="shared" si="68"/>
        <v>0</v>
      </c>
      <c r="ED52" s="29">
        <f t="shared" si="68"/>
        <v>0</v>
      </c>
      <c r="EF52" s="29">
        <f t="shared" si="68"/>
        <v>0</v>
      </c>
      <c r="EH52" s="29">
        <f t="shared" si="69"/>
        <v>0</v>
      </c>
      <c r="EJ52" s="29">
        <f t="shared" si="70"/>
        <v>0</v>
      </c>
      <c r="EL52" s="29"/>
      <c r="EN52" s="29"/>
      <c r="EP52" s="29"/>
      <c r="ER52" s="29"/>
      <c r="ET52" s="29"/>
      <c r="EV52" s="29"/>
      <c r="EX52" s="29"/>
      <c r="EZ52" s="29"/>
      <c r="FB52" s="29"/>
      <c r="FD52" s="29"/>
      <c r="FF52" s="29"/>
      <c r="FH52" s="29"/>
      <c r="FJ52" s="29"/>
      <c r="FL52" s="29"/>
      <c r="FN52" s="29"/>
      <c r="FP52" s="29"/>
      <c r="FR52" s="29"/>
      <c r="FT52" s="29"/>
      <c r="FV52" s="29"/>
      <c r="FX52" s="29"/>
      <c r="FZ52" s="29"/>
      <c r="GB52" s="29"/>
      <c r="GD52" s="29"/>
      <c r="GF52" s="29"/>
      <c r="GH52" s="29"/>
      <c r="GJ52" s="29"/>
      <c r="GL52" s="29"/>
      <c r="GN52" s="29"/>
      <c r="GP52" s="29"/>
      <c r="GR52" s="29"/>
      <c r="GT52" s="29"/>
      <c r="GV52" s="29"/>
    </row>
    <row r="53" spans="2:204" ht="10.5">
      <c r="B53" s="198" t="s">
        <v>83</v>
      </c>
      <c r="C53" s="26"/>
      <c r="D53" s="29"/>
      <c r="E53" s="26"/>
      <c r="F53" s="29"/>
      <c r="G53" s="26"/>
      <c r="H53" s="29"/>
      <c r="I53" s="26"/>
      <c r="J53" s="29"/>
      <c r="K53" s="26"/>
      <c r="L53" s="29"/>
      <c r="M53" s="26"/>
      <c r="N53" s="29"/>
      <c r="O53" s="26"/>
      <c r="P53" s="29"/>
      <c r="Q53" s="26"/>
      <c r="R53" s="29"/>
      <c r="S53" s="26"/>
      <c r="T53" s="29"/>
      <c r="U53" s="26"/>
      <c r="V53" s="29"/>
      <c r="W53" s="26"/>
      <c r="X53" s="29"/>
      <c r="Y53" s="26"/>
      <c r="Z53" s="29"/>
      <c r="AA53" s="26"/>
      <c r="AB53" s="29"/>
      <c r="AC53" s="26"/>
      <c r="AD53" s="29"/>
      <c r="AE53" s="26"/>
      <c r="AF53" s="29"/>
      <c r="AG53" s="26"/>
      <c r="AH53" s="29"/>
      <c r="AI53" s="26"/>
      <c r="AJ53" s="29"/>
      <c r="AK53" s="26"/>
      <c r="AL53" s="29"/>
      <c r="AM53" s="26"/>
      <c r="AN53" s="29"/>
      <c r="AO53" s="26"/>
      <c r="AP53" s="29"/>
      <c r="AQ53" s="26"/>
      <c r="AR53" s="29"/>
      <c r="AS53" s="26"/>
      <c r="AT53" s="29"/>
      <c r="AU53" s="26"/>
      <c r="AV53" s="29"/>
      <c r="AW53" s="26"/>
      <c r="AX53" s="29"/>
      <c r="AY53" s="26"/>
      <c r="AZ53" s="29"/>
      <c r="BA53" s="26"/>
      <c r="BB53" s="29"/>
      <c r="BC53" s="26"/>
      <c r="BD53" s="29"/>
      <c r="BE53" s="26"/>
      <c r="BF53" s="29"/>
      <c r="BG53" s="26"/>
      <c r="BH53" s="29"/>
      <c r="BI53" s="26"/>
      <c r="BJ53" s="29"/>
      <c r="BK53" s="26"/>
      <c r="BL53" s="29"/>
      <c r="BM53" s="26"/>
      <c r="BN53" s="29">
        <v>0</v>
      </c>
      <c r="BO53" s="26"/>
      <c r="BP53" s="29">
        <v>0</v>
      </c>
      <c r="BQ53" s="26"/>
      <c r="BR53" s="29"/>
      <c r="BS53" s="26"/>
      <c r="BT53" s="29"/>
      <c r="BU53" s="26"/>
      <c r="BV53" s="29"/>
      <c r="BW53" s="26"/>
      <c r="BX53" s="29"/>
      <c r="BY53" s="26"/>
      <c r="BZ53" s="29"/>
      <c r="CA53" s="26"/>
      <c r="CB53" s="29"/>
      <c r="CC53" s="26"/>
      <c r="CD53" s="29"/>
      <c r="CE53" s="26"/>
      <c r="CF53" s="29"/>
      <c r="CG53" s="26"/>
      <c r="CH53" s="29"/>
      <c r="CI53" s="26"/>
      <c r="CJ53" s="29"/>
      <c r="CK53" s="26"/>
      <c r="CL53" s="29">
        <v>0</v>
      </c>
      <c r="CM53" s="26"/>
      <c r="CN53" s="29"/>
      <c r="CO53" s="26"/>
      <c r="CP53" s="29"/>
      <c r="CQ53" s="26"/>
      <c r="CR53" s="29"/>
      <c r="CS53" s="26"/>
      <c r="CT53" s="29"/>
      <c r="CU53" s="26"/>
      <c r="CV53" s="29"/>
      <c r="CW53" s="25"/>
      <c r="CX53" s="29"/>
      <c r="CZ53" s="29"/>
      <c r="DA53" s="26"/>
      <c r="DB53" s="29"/>
      <c r="DC53" s="75"/>
      <c r="DD53" s="29"/>
      <c r="DF53" s="29"/>
      <c r="DH53" s="29"/>
      <c r="DJ53" s="29">
        <f t="shared" si="64"/>
        <v>0</v>
      </c>
      <c r="DL53" s="29">
        <f t="shared" si="65"/>
        <v>0</v>
      </c>
      <c r="DN53" s="29">
        <f t="shared" si="65"/>
        <v>0</v>
      </c>
      <c r="DP53" s="29">
        <f t="shared" si="65"/>
        <v>0</v>
      </c>
      <c r="DR53" s="29">
        <f t="shared" si="65"/>
        <v>0</v>
      </c>
      <c r="DT53" s="29">
        <f t="shared" si="66"/>
        <v>0</v>
      </c>
      <c r="DV53" s="29">
        <f t="shared" si="66"/>
        <v>0</v>
      </c>
      <c r="DX53" s="29">
        <f t="shared" si="66"/>
        <v>0</v>
      </c>
      <c r="DZ53" s="29">
        <f t="shared" si="67"/>
        <v>0</v>
      </c>
      <c r="EB53" s="29">
        <f t="shared" si="68"/>
        <v>0</v>
      </c>
      <c r="ED53" s="29">
        <f t="shared" si="68"/>
        <v>0</v>
      </c>
      <c r="EF53" s="29">
        <f t="shared" si="68"/>
        <v>0</v>
      </c>
      <c r="EH53" s="29">
        <f t="shared" si="69"/>
        <v>0</v>
      </c>
      <c r="EJ53" s="29">
        <f t="shared" si="70"/>
        <v>0</v>
      </c>
      <c r="EL53" s="29"/>
      <c r="EN53" s="29"/>
      <c r="EP53" s="29"/>
      <c r="ER53" s="29"/>
      <c r="ET53" s="29"/>
      <c r="EV53" s="29"/>
      <c r="EX53" s="29"/>
      <c r="EZ53" s="29"/>
      <c r="FB53" s="29"/>
      <c r="FD53" s="29"/>
      <c r="FF53" s="29"/>
      <c r="FH53" s="29"/>
      <c r="FJ53" s="29"/>
      <c r="FL53" s="29"/>
      <c r="FN53" s="29"/>
      <c r="FP53" s="29"/>
      <c r="FR53" s="29"/>
      <c r="FT53" s="29"/>
      <c r="FV53" s="29"/>
      <c r="FX53" s="29"/>
      <c r="FZ53" s="29"/>
      <c r="GB53" s="29"/>
      <c r="GD53" s="29"/>
      <c r="GF53" s="29"/>
      <c r="GH53" s="29"/>
      <c r="GJ53" s="29"/>
      <c r="GL53" s="29"/>
      <c r="GN53" s="29"/>
      <c r="GP53" s="29"/>
      <c r="GR53" s="29"/>
      <c r="GT53" s="29"/>
      <c r="GV53" s="29"/>
    </row>
    <row r="54" spans="2:204" ht="10.5">
      <c r="B54" s="198" t="s">
        <v>177</v>
      </c>
      <c r="C54" s="26"/>
      <c r="D54" s="29"/>
      <c r="E54" s="26"/>
      <c r="F54" s="29"/>
      <c r="G54" s="26"/>
      <c r="H54" s="29"/>
      <c r="I54" s="26"/>
      <c r="J54" s="29"/>
      <c r="K54" s="26"/>
      <c r="L54" s="29"/>
      <c r="M54" s="26"/>
      <c r="N54" s="29"/>
      <c r="O54" s="26"/>
      <c r="P54" s="29"/>
      <c r="Q54" s="26"/>
      <c r="R54" s="29"/>
      <c r="S54" s="26"/>
      <c r="T54" s="29"/>
      <c r="U54" s="26"/>
      <c r="V54" s="29"/>
      <c r="W54" s="26"/>
      <c r="X54" s="29"/>
      <c r="Y54" s="26"/>
      <c r="Z54" s="29"/>
      <c r="AA54" s="26"/>
      <c r="AB54" s="29"/>
      <c r="AC54" s="26"/>
      <c r="AD54" s="29"/>
      <c r="AE54" s="26"/>
      <c r="AF54" s="29"/>
      <c r="AG54" s="26"/>
      <c r="AH54" s="29"/>
      <c r="AI54" s="26"/>
      <c r="AJ54" s="29"/>
      <c r="AK54" s="26"/>
      <c r="AL54" s="29"/>
      <c r="AM54" s="26"/>
      <c r="AN54" s="29"/>
      <c r="AO54" s="26"/>
      <c r="AP54" s="29"/>
      <c r="AQ54" s="26"/>
      <c r="AR54" s="29"/>
      <c r="AS54" s="26"/>
      <c r="AT54" s="29"/>
      <c r="AU54" s="26"/>
      <c r="AV54" s="29"/>
      <c r="AW54" s="26"/>
      <c r="AX54" s="29"/>
      <c r="AY54" s="26"/>
      <c r="AZ54" s="29"/>
      <c r="BA54" s="26"/>
      <c r="BB54" s="29"/>
      <c r="BC54" s="26"/>
      <c r="BD54" s="29"/>
      <c r="BE54" s="26"/>
      <c r="BF54" s="29"/>
      <c r="BG54" s="26"/>
      <c r="BH54" s="29"/>
      <c r="BI54" s="26"/>
      <c r="BJ54" s="29"/>
      <c r="BK54" s="26"/>
      <c r="BL54" s="29"/>
      <c r="BM54" s="26"/>
      <c r="BN54" s="29">
        <v>0</v>
      </c>
      <c r="BO54" s="26"/>
      <c r="BP54" s="29">
        <v>0</v>
      </c>
      <c r="BQ54" s="26"/>
      <c r="BR54" s="29"/>
      <c r="BS54" s="26"/>
      <c r="BT54" s="29"/>
      <c r="BU54" s="26"/>
      <c r="BV54" s="29"/>
      <c r="BW54" s="26"/>
      <c r="BX54" s="29"/>
      <c r="BY54" s="26"/>
      <c r="BZ54" s="29"/>
      <c r="CA54" s="26"/>
      <c r="CB54" s="29"/>
      <c r="CC54" s="26"/>
      <c r="CD54" s="29"/>
      <c r="CE54" s="26"/>
      <c r="CF54" s="29"/>
      <c r="CG54" s="26"/>
      <c r="CH54" s="29"/>
      <c r="CI54" s="26"/>
      <c r="CJ54" s="29"/>
      <c r="CK54" s="26"/>
      <c r="CL54" s="29">
        <v>0</v>
      </c>
      <c r="CM54" s="26"/>
      <c r="CN54" s="29"/>
      <c r="CO54" s="26"/>
      <c r="CP54" s="29"/>
      <c r="CQ54" s="26"/>
      <c r="CR54" s="29"/>
      <c r="CS54" s="26"/>
      <c r="CT54" s="29"/>
      <c r="CU54" s="26"/>
      <c r="CV54" s="29"/>
      <c r="CX54" s="29"/>
      <c r="CZ54" s="29"/>
      <c r="DA54" s="26"/>
      <c r="DB54" s="29"/>
      <c r="DC54" s="75"/>
      <c r="DD54" s="29"/>
      <c r="DF54" s="29"/>
      <c r="DH54" s="29"/>
      <c r="DJ54" s="29">
        <f t="shared" si="64"/>
        <v>0</v>
      </c>
      <c r="DL54" s="29">
        <f t="shared" si="65"/>
        <v>0</v>
      </c>
      <c r="DN54" s="29">
        <f t="shared" si="65"/>
        <v>0</v>
      </c>
      <c r="DP54" s="29">
        <f t="shared" si="65"/>
        <v>0</v>
      </c>
      <c r="DR54" s="29">
        <f t="shared" si="65"/>
        <v>0</v>
      </c>
      <c r="DT54" s="29"/>
      <c r="DV54" s="29"/>
      <c r="DX54" s="29"/>
      <c r="DZ54" s="29"/>
      <c r="EB54" s="29"/>
      <c r="ED54" s="29"/>
      <c r="EF54" s="29"/>
      <c r="EH54" s="29"/>
      <c r="EJ54" s="29"/>
      <c r="EL54" s="29"/>
      <c r="EN54" s="29"/>
      <c r="EP54" s="29"/>
      <c r="ER54" s="29"/>
      <c r="ET54" s="29"/>
      <c r="EV54" s="29"/>
      <c r="EX54" s="29"/>
      <c r="EZ54" s="29"/>
      <c r="FB54" s="29"/>
      <c r="FD54" s="29"/>
      <c r="FF54" s="29"/>
      <c r="FH54" s="29"/>
      <c r="FJ54" s="29"/>
      <c r="FL54" s="29"/>
      <c r="FN54" s="29"/>
      <c r="FP54" s="29"/>
      <c r="FR54" s="29"/>
      <c r="FT54" s="29"/>
      <c r="FV54" s="29"/>
      <c r="FX54" s="29"/>
      <c r="FZ54" s="29"/>
      <c r="GB54" s="29"/>
      <c r="GD54" s="29"/>
      <c r="GF54" s="29"/>
      <c r="GH54" s="29"/>
      <c r="GJ54" s="29"/>
      <c r="GL54" s="29"/>
      <c r="GN54" s="29"/>
      <c r="GP54" s="29"/>
      <c r="GR54" s="29"/>
      <c r="GT54" s="29"/>
      <c r="GV54" s="29"/>
    </row>
    <row r="55" spans="2:204" ht="10.5">
      <c r="B55" s="199"/>
      <c r="C55" s="26"/>
      <c r="D55" s="31"/>
      <c r="E55" s="26"/>
      <c r="F55" s="31"/>
      <c r="G55" s="26"/>
      <c r="H55" s="31"/>
      <c r="I55" s="26"/>
      <c r="J55" s="31">
        <v>0</v>
      </c>
      <c r="K55" s="26"/>
      <c r="L55" s="31">
        <v>0</v>
      </c>
      <c r="M55" s="26"/>
      <c r="N55" s="31">
        <v>0</v>
      </c>
      <c r="O55" s="26"/>
      <c r="P55" s="31">
        <v>0</v>
      </c>
      <c r="Q55" s="26"/>
      <c r="R55" s="31">
        <v>0</v>
      </c>
      <c r="S55" s="26"/>
      <c r="T55" s="31">
        <v>0</v>
      </c>
      <c r="U55" s="26"/>
      <c r="V55" s="31">
        <v>0</v>
      </c>
      <c r="W55" s="26"/>
      <c r="X55" s="31">
        <v>0</v>
      </c>
      <c r="Y55" s="26"/>
      <c r="Z55" s="31">
        <f>SUM(Z50:Z54)</f>
        <v>0</v>
      </c>
      <c r="AA55" s="26"/>
      <c r="AB55" s="31">
        <v>0</v>
      </c>
      <c r="AC55" s="26"/>
      <c r="AD55" s="31">
        <v>0</v>
      </c>
      <c r="AE55" s="26"/>
      <c r="AF55" s="31">
        <v>0</v>
      </c>
      <c r="AG55" s="26"/>
      <c r="AH55" s="31">
        <f>SUM(AH50:AH54)</f>
        <v>0</v>
      </c>
      <c r="AI55" s="26"/>
      <c r="AJ55" s="31">
        <f>SUM(AJ50:AJ54)</f>
        <v>0</v>
      </c>
      <c r="AK55" s="26"/>
      <c r="AL55" s="31">
        <f>SUM(AL50:AL54)</f>
        <v>0</v>
      </c>
      <c r="AM55" s="26"/>
      <c r="AN55" s="31">
        <f>SUM(AN50:AN54)</f>
        <v>0</v>
      </c>
      <c r="AO55" s="26"/>
      <c r="AP55" s="31">
        <f>SUM(AP50:AP54)</f>
        <v>0</v>
      </c>
      <c r="AQ55" s="26"/>
      <c r="AR55" s="31">
        <f>SUM(AR50:AR54)</f>
        <v>0</v>
      </c>
      <c r="AS55" s="26"/>
      <c r="AT55" s="31">
        <f>SUM(AT50:AT54)</f>
        <v>0</v>
      </c>
      <c r="AU55" s="26"/>
      <c r="AV55" s="31"/>
      <c r="AW55" s="26"/>
      <c r="AX55" s="31"/>
      <c r="AY55" s="26"/>
      <c r="AZ55" s="31">
        <f>SUM(AZ50:AZ54)</f>
        <v>0</v>
      </c>
      <c r="BA55" s="26"/>
      <c r="BB55" s="31">
        <f>SUM(BB50:BB54)</f>
        <v>0</v>
      </c>
      <c r="BC55" s="26"/>
      <c r="BD55" s="31"/>
      <c r="BE55" s="26"/>
      <c r="BF55" s="31"/>
      <c r="BG55" s="26"/>
      <c r="BH55" s="31"/>
      <c r="BI55" s="26"/>
      <c r="BJ55" s="31"/>
      <c r="BK55" s="26"/>
      <c r="BL55" s="31"/>
      <c r="BM55" s="26"/>
      <c r="BN55" s="31"/>
      <c r="BO55" s="26"/>
      <c r="BP55" s="31"/>
      <c r="BQ55" s="26"/>
      <c r="BR55" s="31"/>
      <c r="BS55" s="26"/>
      <c r="BT55" s="31"/>
      <c r="BU55" s="26"/>
      <c r="BV55" s="31"/>
      <c r="BW55" s="26"/>
      <c r="BX55" s="31"/>
      <c r="BY55" s="26"/>
      <c r="BZ55" s="31"/>
      <c r="CA55" s="26"/>
      <c r="CB55" s="31"/>
      <c r="CC55" s="26"/>
      <c r="CD55" s="31"/>
      <c r="CE55" s="26"/>
      <c r="CF55" s="31"/>
      <c r="CG55" s="26"/>
      <c r="CH55" s="31"/>
      <c r="CI55" s="26"/>
      <c r="CJ55" s="31">
        <f>SUM(CJ50:CJ54)</f>
        <v>0</v>
      </c>
      <c r="CK55" s="26"/>
      <c r="CL55" s="31">
        <f>SUM(CL50:CL54)</f>
        <v>0</v>
      </c>
      <c r="CM55" s="26"/>
      <c r="CN55" s="31">
        <f>SUM(CN50:CN54)</f>
        <v>0</v>
      </c>
      <c r="CO55" s="26"/>
      <c r="CP55" s="31">
        <f>SUM(CP50:CP54)</f>
        <v>0</v>
      </c>
      <c r="CQ55" s="26"/>
      <c r="CR55" s="31">
        <f>SUM(CR50:CR54)</f>
        <v>0</v>
      </c>
      <c r="CS55" s="26"/>
      <c r="CT55" s="31">
        <f>SUM(CT50:CT54)</f>
        <v>0</v>
      </c>
      <c r="CU55" s="26"/>
      <c r="CV55" s="31">
        <f>SUM(CV50:CV54)</f>
        <v>0</v>
      </c>
      <c r="CX55" s="31">
        <f>SUM(CX50:CX54)</f>
        <v>0</v>
      </c>
      <c r="CZ55" s="31">
        <f>SUM(CZ50:CZ54)</f>
        <v>0</v>
      </c>
      <c r="DA55" s="26"/>
      <c r="DB55" s="31">
        <f>SUM(DB50:DB54)</f>
        <v>0</v>
      </c>
      <c r="DC55" s="75"/>
      <c r="DD55" s="31"/>
      <c r="DF55" s="31"/>
      <c r="DH55" s="31"/>
      <c r="DJ55" s="31">
        <f>SUM(DJ50:DJ54)</f>
        <v>0</v>
      </c>
      <c r="DL55" s="31">
        <f>SUM(DL50:DL54)</f>
        <v>0</v>
      </c>
      <c r="DN55" s="31">
        <f>SUM(DN50:DN54)</f>
        <v>0</v>
      </c>
      <c r="DP55" s="31">
        <f>SUM(DP50:DP54)</f>
        <v>0</v>
      </c>
      <c r="DR55" s="31">
        <f>SUM(DR50:DR54)</f>
        <v>0</v>
      </c>
      <c r="DT55" s="31">
        <f>SUM(DT50:DT54)</f>
        <v>0</v>
      </c>
      <c r="DV55" s="31">
        <f>SUM(DV50:DV54)</f>
        <v>0</v>
      </c>
      <c r="DX55" s="31">
        <f>SUM(DX50:DX54)</f>
        <v>0</v>
      </c>
      <c r="DZ55" s="31">
        <f>SUM(DZ50:DZ54)</f>
        <v>0</v>
      </c>
      <c r="EB55" s="31">
        <f>SUM(EB50:EB54)</f>
        <v>0</v>
      </c>
      <c r="ED55" s="31">
        <f>SUM(ED50:ED54)</f>
        <v>0</v>
      </c>
      <c r="EF55" s="31">
        <f>SUM(EF50:EF54)</f>
        <v>0</v>
      </c>
      <c r="EH55" s="31">
        <f>SUM(EH50:EH54)</f>
        <v>0</v>
      </c>
      <c r="EJ55" s="31">
        <f>SUM(EJ50:EJ54)</f>
        <v>0</v>
      </c>
      <c r="EL55" s="31">
        <f>SUM(EL50:EL54)</f>
        <v>0</v>
      </c>
      <c r="EN55" s="31">
        <f>SUM(EN50:EN54)</f>
        <v>0</v>
      </c>
      <c r="EP55" s="31">
        <f>SUM(EP50:EP54)</f>
        <v>0</v>
      </c>
      <c r="ER55" s="31">
        <f>SUM(ER50:ER54)</f>
        <v>0</v>
      </c>
      <c r="ET55" s="31">
        <f>SUM(ET50:ET54)</f>
        <v>0</v>
      </c>
      <c r="EV55" s="31">
        <f>SUM(EV50:EV54)</f>
        <v>0</v>
      </c>
      <c r="EX55" s="31">
        <f>SUM(EX50:EX54)</f>
        <v>0</v>
      </c>
      <c r="EZ55" s="31">
        <f>SUM(EZ50:EZ54)</f>
        <v>0</v>
      </c>
      <c r="FB55" s="31">
        <f>SUM(FB50:FB54)</f>
        <v>0</v>
      </c>
      <c r="FD55" s="31">
        <f>SUM(FD50:FD54)</f>
        <v>0</v>
      </c>
      <c r="FF55" s="31">
        <f>SUM(FF50:FF54)</f>
        <v>0</v>
      </c>
      <c r="FH55" s="31">
        <f>SUM(FH50:FH54)</f>
        <v>0</v>
      </c>
      <c r="FJ55" s="31">
        <f>SUM(FJ50:FJ54)</f>
        <v>0</v>
      </c>
      <c r="FL55" s="31">
        <f>SUM(FL50:FL54)</f>
        <v>0</v>
      </c>
      <c r="FN55" s="31">
        <f>SUM(FN50:FN54)</f>
        <v>0</v>
      </c>
      <c r="FP55" s="31">
        <f>SUM(FP50:FP54)</f>
        <v>0</v>
      </c>
      <c r="FR55" s="31">
        <f>SUM(FR50:FR54)</f>
        <v>0</v>
      </c>
      <c r="FT55" s="31">
        <f>SUM(FT50:FT54)</f>
        <v>0</v>
      </c>
      <c r="FV55" s="31">
        <f>SUM(FV50:FV54)</f>
        <v>0</v>
      </c>
      <c r="FX55" s="31">
        <f>SUM(FX50:FX54)</f>
        <v>0</v>
      </c>
      <c r="FZ55" s="31">
        <f>SUM(FZ50:FZ54)</f>
        <v>0</v>
      </c>
      <c r="GB55" s="31">
        <f>SUM(GB50:GB54)</f>
        <v>0</v>
      </c>
      <c r="GD55" s="31">
        <f>SUM(GD50:GD54)</f>
        <v>0</v>
      </c>
      <c r="GF55" s="31">
        <f>SUM(GF50:GF54)</f>
        <v>0</v>
      </c>
      <c r="GH55" s="31">
        <f>SUM(GH50:GH54)</f>
        <v>0</v>
      </c>
      <c r="GJ55" s="31">
        <f>SUM(GJ50:GJ54)</f>
        <v>0</v>
      </c>
      <c r="GL55" s="31">
        <f>SUM(GL50:GL54)</f>
        <v>0</v>
      </c>
      <c r="GN55" s="31">
        <f>SUM(GN50:GN54)</f>
        <v>0</v>
      </c>
      <c r="GP55" s="31">
        <f>SUM(GP50:GP54)</f>
        <v>0</v>
      </c>
      <c r="GR55" s="31">
        <f>SUM(GR50:GR54)</f>
        <v>0</v>
      </c>
      <c r="GT55" s="31">
        <f>SUM(GT50:GT54)</f>
        <v>0</v>
      </c>
      <c r="GV55" s="31">
        <f>SUM(GV50:GV54)</f>
        <v>0</v>
      </c>
    </row>
    <row r="56" spans="2:204" ht="10.5">
      <c r="B56" s="199"/>
      <c r="C56" s="26"/>
      <c r="D56" s="61"/>
      <c r="E56" s="26"/>
      <c r="F56" s="61"/>
      <c r="G56" s="26"/>
      <c r="H56" s="61"/>
      <c r="I56" s="26"/>
      <c r="J56" s="61"/>
      <c r="K56" s="26"/>
      <c r="L56" s="61"/>
      <c r="M56" s="26"/>
      <c r="N56" s="61"/>
      <c r="O56" s="26"/>
      <c r="P56" s="61"/>
      <c r="Q56" s="26"/>
      <c r="R56" s="61"/>
      <c r="S56" s="26"/>
      <c r="T56" s="61"/>
      <c r="U56" s="26"/>
      <c r="V56" s="61"/>
      <c r="W56" s="26"/>
      <c r="X56" s="61"/>
      <c r="Y56" s="26"/>
      <c r="Z56" s="61"/>
      <c r="AA56" s="26"/>
      <c r="AB56" s="61"/>
      <c r="AC56" s="26"/>
      <c r="AD56" s="61"/>
      <c r="AE56" s="26"/>
      <c r="AF56" s="61"/>
      <c r="AG56" s="26"/>
      <c r="AH56" s="61"/>
      <c r="AI56" s="26"/>
      <c r="AJ56" s="61"/>
      <c r="AK56" s="26"/>
      <c r="AL56" s="61"/>
      <c r="AM56" s="26"/>
      <c r="AN56" s="61"/>
      <c r="AO56" s="26"/>
      <c r="AP56" s="61"/>
      <c r="AQ56" s="26"/>
      <c r="AR56" s="61"/>
      <c r="AS56" s="26"/>
      <c r="AT56" s="61"/>
      <c r="AU56" s="26"/>
      <c r="AV56" s="61"/>
      <c r="AW56" s="26"/>
      <c r="AX56" s="61"/>
      <c r="AY56" s="26"/>
      <c r="AZ56" s="61"/>
      <c r="BA56" s="26"/>
      <c r="BB56" s="61"/>
      <c r="BC56" s="26"/>
      <c r="BD56" s="61"/>
      <c r="BE56" s="26"/>
      <c r="BF56" s="61"/>
      <c r="BG56" s="26"/>
      <c r="BH56" s="61"/>
      <c r="BI56" s="26"/>
      <c r="BJ56" s="61"/>
      <c r="BK56" s="26"/>
      <c r="BL56" s="61"/>
      <c r="BM56" s="26"/>
      <c r="BN56" s="61"/>
      <c r="BO56" s="26"/>
      <c r="BP56" s="61"/>
      <c r="BQ56" s="26"/>
      <c r="BR56" s="61"/>
      <c r="BS56" s="26"/>
      <c r="BT56" s="61"/>
      <c r="BU56" s="26"/>
      <c r="BV56" s="61"/>
      <c r="BW56" s="26"/>
      <c r="BX56" s="61"/>
      <c r="BY56" s="26"/>
      <c r="BZ56" s="61"/>
      <c r="CA56" s="26"/>
      <c r="CB56" s="61"/>
      <c r="CC56" s="26"/>
      <c r="CD56" s="61"/>
      <c r="CE56" s="26"/>
      <c r="CF56" s="61"/>
      <c r="CG56" s="26"/>
      <c r="CH56" s="61"/>
      <c r="CI56" s="26"/>
      <c r="CJ56" s="61"/>
      <c r="CK56" s="26"/>
      <c r="CL56" s="61"/>
      <c r="CM56" s="26"/>
      <c r="CN56" s="61"/>
      <c r="CO56" s="26"/>
      <c r="CP56" s="61"/>
      <c r="CQ56" s="26"/>
      <c r="CR56" s="61"/>
      <c r="CS56" s="26"/>
      <c r="CT56" s="61"/>
      <c r="CU56" s="26"/>
      <c r="CV56" s="61"/>
      <c r="CX56" s="61"/>
      <c r="CZ56" s="61"/>
      <c r="DA56" s="26"/>
      <c r="DB56" s="61"/>
      <c r="DC56" s="75"/>
      <c r="DD56" s="61"/>
      <c r="DF56" s="61"/>
      <c r="DH56" s="61"/>
      <c r="DJ56" s="61"/>
      <c r="DL56" s="61"/>
      <c r="DN56" s="61"/>
      <c r="DP56" s="61"/>
      <c r="DR56" s="61"/>
      <c r="DT56" s="61"/>
      <c r="DV56" s="61"/>
      <c r="DX56" s="61"/>
      <c r="DZ56" s="61"/>
      <c r="EB56" s="61"/>
      <c r="ED56" s="61"/>
      <c r="EF56" s="61"/>
      <c r="EH56" s="61"/>
      <c r="EJ56" s="61"/>
      <c r="EL56" s="61"/>
      <c r="EN56" s="61"/>
      <c r="EP56" s="61"/>
      <c r="ER56" s="61"/>
      <c r="ET56" s="61"/>
      <c r="EV56" s="61"/>
      <c r="EX56" s="61"/>
      <c r="EZ56" s="61"/>
      <c r="FB56" s="61"/>
      <c r="FD56" s="61"/>
      <c r="FF56" s="61"/>
      <c r="FH56" s="61"/>
      <c r="FJ56" s="61"/>
      <c r="FL56" s="61"/>
      <c r="FN56" s="61"/>
      <c r="FP56" s="61"/>
      <c r="FR56" s="61"/>
      <c r="FT56" s="61"/>
      <c r="FV56" s="61"/>
      <c r="FX56" s="61"/>
      <c r="FZ56" s="61"/>
      <c r="GB56" s="61"/>
      <c r="GD56" s="61"/>
      <c r="GF56" s="61"/>
      <c r="GH56" s="61"/>
      <c r="GJ56" s="61"/>
      <c r="GL56" s="61"/>
      <c r="GN56" s="61"/>
      <c r="GP56" s="61"/>
      <c r="GR56" s="61"/>
      <c r="GT56" s="61"/>
      <c r="GV56" s="61"/>
    </row>
    <row r="57" spans="2:204">
      <c r="B57" s="25" t="s">
        <v>84</v>
      </c>
      <c r="C57" s="25"/>
      <c r="D57" s="30"/>
      <c r="E57" s="25"/>
      <c r="F57" s="30"/>
      <c r="G57" s="25"/>
      <c r="H57" s="30"/>
      <c r="I57" s="25"/>
      <c r="J57" s="30">
        <f>J47+J55</f>
        <v>0</v>
      </c>
      <c r="K57" s="25"/>
      <c r="L57" s="30">
        <f>L47+L55</f>
        <v>-31938.800000000003</v>
      </c>
      <c r="M57" s="25"/>
      <c r="N57" s="30">
        <f>N47+N55</f>
        <v>0</v>
      </c>
      <c r="O57" s="25"/>
      <c r="P57" s="30">
        <f>P47+P55</f>
        <v>0</v>
      </c>
      <c r="Q57" s="25"/>
      <c r="R57" s="30">
        <f>R47+R55</f>
        <v>0</v>
      </c>
      <c r="S57" s="25"/>
      <c r="T57" s="30">
        <f>T47+T55</f>
        <v>-19561.14</v>
      </c>
      <c r="U57" s="25"/>
      <c r="V57" s="30">
        <v>0</v>
      </c>
      <c r="W57" s="25"/>
      <c r="X57" s="30">
        <v>0</v>
      </c>
      <c r="Y57" s="25"/>
      <c r="Z57" s="30">
        <f>Z47+Z55</f>
        <v>0</v>
      </c>
      <c r="AA57" s="25"/>
      <c r="AB57" s="30">
        <f>AB47+AB55</f>
        <v>33942.22</v>
      </c>
      <c r="AC57" s="25"/>
      <c r="AD57" s="30">
        <v>0</v>
      </c>
      <c r="AE57" s="25"/>
      <c r="AF57" s="30">
        <v>0</v>
      </c>
      <c r="AG57" s="25"/>
      <c r="AH57" s="30">
        <f>AH47+AH55</f>
        <v>0</v>
      </c>
      <c r="AI57" s="25"/>
      <c r="AJ57" s="30">
        <f>AJ47+AJ55</f>
        <v>17676.29</v>
      </c>
      <c r="AK57" s="25"/>
      <c r="AL57" s="30"/>
      <c r="AM57" s="25"/>
      <c r="AN57" s="30"/>
      <c r="AO57" s="25"/>
      <c r="AP57" s="30">
        <f>AP47+AP55</f>
        <v>0</v>
      </c>
      <c r="AQ57" s="25"/>
      <c r="AR57" s="30">
        <f>AR47+AR55</f>
        <v>3329.5200000000004</v>
      </c>
      <c r="AS57" s="25"/>
      <c r="AT57" s="30">
        <f>AT47+AT55</f>
        <v>0</v>
      </c>
      <c r="AU57" s="25"/>
      <c r="AV57" s="30">
        <f>AV47+AV55</f>
        <v>0</v>
      </c>
      <c r="AW57" s="25"/>
      <c r="AX57" s="30">
        <f>AX47+AX55</f>
        <v>0</v>
      </c>
      <c r="AY57" s="25"/>
      <c r="AZ57" s="30">
        <f>AZ47+AZ55</f>
        <v>7513.0300000000007</v>
      </c>
      <c r="BA57" s="25"/>
      <c r="BB57" s="30">
        <f>BB47+BB55</f>
        <v>0</v>
      </c>
      <c r="BC57" s="25"/>
      <c r="BD57" s="30">
        <f>BD47+BD55</f>
        <v>0</v>
      </c>
      <c r="BE57" s="25"/>
      <c r="BF57" s="30">
        <f>BF47+BF55</f>
        <v>0</v>
      </c>
      <c r="BG57" s="25"/>
      <c r="BH57" s="30">
        <f>BH47+BH55</f>
        <v>-12396.279999999999</v>
      </c>
      <c r="BI57" s="25"/>
      <c r="BJ57" s="30">
        <f>BJ47+BJ55</f>
        <v>0</v>
      </c>
      <c r="BK57" s="25"/>
      <c r="BL57" s="30">
        <f>BL47+BL55</f>
        <v>0</v>
      </c>
      <c r="BM57" s="25"/>
      <c r="BN57" s="30">
        <f>BN47+BN55</f>
        <v>0</v>
      </c>
      <c r="BO57" s="25"/>
      <c r="BP57" s="30">
        <f>BP47+BP55</f>
        <v>0</v>
      </c>
      <c r="BQ57" s="25"/>
      <c r="BR57" s="30">
        <f>BR47+BR55</f>
        <v>0</v>
      </c>
      <c r="BS57" s="25"/>
      <c r="BT57" s="30">
        <f>BT47+BT55</f>
        <v>0</v>
      </c>
      <c r="BU57" s="25"/>
      <c r="BV57" s="30">
        <f>BV47+BV55</f>
        <v>5713.7900000000009</v>
      </c>
      <c r="BW57" s="25"/>
      <c r="BX57" s="30">
        <f>BX47+BX55</f>
        <v>0</v>
      </c>
      <c r="BY57" s="25"/>
      <c r="BZ57" s="30">
        <f>BZ47+BZ55</f>
        <v>0</v>
      </c>
      <c r="CA57" s="25"/>
      <c r="CB57" s="30">
        <f>CB47+CB55</f>
        <v>0</v>
      </c>
      <c r="CC57" s="25"/>
      <c r="CD57" s="30">
        <f>CD47+CD55</f>
        <v>4324.5</v>
      </c>
      <c r="CE57" s="25"/>
      <c r="CF57" s="30">
        <f>CF47+CF55</f>
        <v>0</v>
      </c>
      <c r="CG57" s="25"/>
      <c r="CH57" s="30">
        <f>CH47+CH55</f>
        <v>0</v>
      </c>
      <c r="CI57" s="25"/>
      <c r="CJ57" s="30">
        <f>CJ47+CJ55</f>
        <v>0</v>
      </c>
      <c r="CK57" s="25"/>
      <c r="CL57" s="30">
        <f>CL47+CL55</f>
        <v>-8972.89</v>
      </c>
      <c r="CM57" s="25"/>
      <c r="CN57" s="30">
        <f>CN47+CN55</f>
        <v>0</v>
      </c>
      <c r="CO57" s="25"/>
      <c r="CP57" s="30">
        <f>CP47+CP55</f>
        <v>0</v>
      </c>
      <c r="CQ57" s="25"/>
      <c r="CR57" s="30">
        <f>CR47+CR55</f>
        <v>0</v>
      </c>
      <c r="CS57" s="25"/>
      <c r="CT57" s="30">
        <f>CT47+CT55</f>
        <v>269.06580000000002</v>
      </c>
      <c r="CU57" s="25"/>
      <c r="CV57" s="30">
        <f>CV47+CV55</f>
        <v>0</v>
      </c>
      <c r="CX57" s="30">
        <f>CX47+CX55</f>
        <v>0</v>
      </c>
      <c r="CZ57" s="30">
        <f>CZ47+CZ55</f>
        <v>709.42230000000006</v>
      </c>
      <c r="DA57" s="25"/>
      <c r="DB57" s="30">
        <f>DB47+DB55</f>
        <v>9695.7099999999991</v>
      </c>
      <c r="DC57" s="78"/>
      <c r="DD57" s="30"/>
      <c r="DF57" s="30"/>
      <c r="DH57" s="30"/>
      <c r="DJ57" s="30">
        <f>DJ47+DJ55</f>
        <v>0</v>
      </c>
      <c r="DL57" s="30">
        <f>DL47+DL55</f>
        <v>-31938.800000000003</v>
      </c>
      <c r="DN57" s="30">
        <f>DN47+DN55</f>
        <v>0</v>
      </c>
      <c r="DP57" s="30">
        <f>DP47+DP55</f>
        <v>0</v>
      </c>
      <c r="DR57" s="30">
        <f>DR47+DR55</f>
        <v>0</v>
      </c>
      <c r="DT57" s="30">
        <f>DT47+DT55</f>
        <v>-19561.14</v>
      </c>
      <c r="DV57" s="30">
        <f>DV47+DV55</f>
        <v>0</v>
      </c>
      <c r="DX57" s="30">
        <f>DX47+DX55</f>
        <v>0</v>
      </c>
      <c r="DZ57" s="30">
        <f>DZ47+DZ55</f>
        <v>0</v>
      </c>
      <c r="EB57" s="30">
        <f>EB47+EB55</f>
        <v>33942.22</v>
      </c>
      <c r="ED57" s="30">
        <f>ED47+ED55</f>
        <v>0</v>
      </c>
      <c r="EF57" s="30">
        <f>EF47+EF55</f>
        <v>0</v>
      </c>
      <c r="EH57" s="30">
        <f>EH47+EH55</f>
        <v>0</v>
      </c>
      <c r="EJ57" s="30">
        <f>EJ47+EJ55</f>
        <v>21822.58</v>
      </c>
      <c r="EL57" s="30">
        <f>EL47+EL55</f>
        <v>0</v>
      </c>
      <c r="EN57" s="30">
        <f>EN47+EN55</f>
        <v>0</v>
      </c>
      <c r="EP57" s="30">
        <f>EP47+EP55</f>
        <v>0</v>
      </c>
      <c r="ER57" s="30">
        <f>ER47+ER55</f>
        <v>3329.5200000000004</v>
      </c>
      <c r="ET57" s="30">
        <f>ET47+ET55</f>
        <v>0</v>
      </c>
      <c r="EV57" s="30">
        <f>EV47+EV55</f>
        <v>0</v>
      </c>
      <c r="EX57" s="30">
        <f>EX47+EX55</f>
        <v>0</v>
      </c>
      <c r="EZ57" s="30">
        <f>EZ47+EZ55</f>
        <v>7513.0300000000007</v>
      </c>
      <c r="FB57" s="30">
        <f>FB47+FB55</f>
        <v>0</v>
      </c>
      <c r="FD57" s="30">
        <f>FD47+FD55</f>
        <v>0</v>
      </c>
      <c r="FF57" s="30">
        <f>FF47+FF55</f>
        <v>0</v>
      </c>
      <c r="FH57" s="30">
        <f>FH47+FH55</f>
        <v>-12396.279999999999</v>
      </c>
      <c r="FJ57" s="30">
        <f>FJ47+FJ55</f>
        <v>0</v>
      </c>
      <c r="FL57" s="30">
        <f>FL47+FL55</f>
        <v>0</v>
      </c>
      <c r="FN57" s="30">
        <f>FN47+FN55</f>
        <v>0</v>
      </c>
      <c r="FP57" s="30">
        <f>FP47+FP55</f>
        <v>0</v>
      </c>
      <c r="FR57" s="30">
        <f>FR47+FR55</f>
        <v>0</v>
      </c>
      <c r="FT57" s="30">
        <f>FT47+FT55</f>
        <v>0</v>
      </c>
      <c r="FV57" s="30">
        <f>FV47+FV55</f>
        <v>5713.7900000000009</v>
      </c>
      <c r="FX57" s="30">
        <f>FX47+FX55</f>
        <v>0</v>
      </c>
      <c r="FZ57" s="30">
        <f>FZ47+FZ55</f>
        <v>0</v>
      </c>
      <c r="GB57" s="30">
        <f>GB47+GB55</f>
        <v>0</v>
      </c>
      <c r="GD57" s="30">
        <f>GD47+GD55</f>
        <v>4324.5</v>
      </c>
      <c r="GF57" s="30">
        <f>GF47+GF55</f>
        <v>0</v>
      </c>
      <c r="GH57" s="30">
        <f>GH47+GH55</f>
        <v>0</v>
      </c>
      <c r="GJ57" s="30">
        <f>GJ47+GJ55</f>
        <v>0</v>
      </c>
      <c r="GL57" s="30">
        <f>GL47+GL55</f>
        <v>-8972.89</v>
      </c>
      <c r="GN57" s="30">
        <f>GN47+GN55</f>
        <v>0</v>
      </c>
      <c r="GP57" s="30">
        <f>GP47+GP55</f>
        <v>0</v>
      </c>
      <c r="GR57" s="30">
        <f>GR47+GR55</f>
        <v>0</v>
      </c>
      <c r="GT57" s="30">
        <f>GT47+GT55</f>
        <v>269.06580000000002</v>
      </c>
      <c r="GV57" s="30">
        <f>GV47+GV55</f>
        <v>0</v>
      </c>
    </row>
    <row r="58" spans="2:204">
      <c r="B58" s="26"/>
      <c r="C58" s="26"/>
      <c r="D58" s="30"/>
      <c r="E58" s="26"/>
      <c r="F58" s="30"/>
      <c r="G58" s="26"/>
      <c r="H58" s="30"/>
      <c r="I58" s="26"/>
      <c r="J58" s="30"/>
      <c r="K58" s="26"/>
      <c r="L58" s="30"/>
      <c r="M58" s="26"/>
      <c r="N58" s="30"/>
      <c r="O58" s="26"/>
      <c r="P58" s="30"/>
      <c r="Q58" s="26"/>
      <c r="R58" s="30"/>
      <c r="S58" s="26"/>
      <c r="T58" s="30"/>
      <c r="U58" s="26"/>
      <c r="V58" s="30"/>
      <c r="W58" s="26"/>
      <c r="X58" s="30"/>
      <c r="Y58" s="26"/>
      <c r="Z58" s="30">
        <f>Z48+Z56</f>
        <v>0</v>
      </c>
      <c r="AA58" s="26"/>
      <c r="AB58" s="30"/>
      <c r="AC58" s="26"/>
      <c r="AD58" s="30"/>
      <c r="AE58" s="26"/>
      <c r="AF58" s="30"/>
      <c r="AG58" s="26"/>
      <c r="AH58" s="30">
        <f>AH48+AH56</f>
        <v>0</v>
      </c>
      <c r="AI58" s="26"/>
      <c r="AJ58" s="30">
        <f>AJ48+AJ56</f>
        <v>0</v>
      </c>
      <c r="AK58" s="26"/>
      <c r="AL58" s="30">
        <f>AL48+AL56</f>
        <v>0</v>
      </c>
      <c r="AM58" s="26"/>
      <c r="AN58" s="30">
        <f>AN48+AN56</f>
        <v>0</v>
      </c>
      <c r="AO58" s="26"/>
      <c r="AQ58" s="26"/>
      <c r="AS58" s="26"/>
      <c r="AU58" s="26"/>
      <c r="AW58" s="26"/>
      <c r="AY58" s="26"/>
      <c r="BA58" s="26"/>
      <c r="BC58" s="26"/>
      <c r="BE58" s="26"/>
      <c r="BG58" s="26"/>
      <c r="BI58" s="26"/>
      <c r="BK58" s="26"/>
      <c r="BM58" s="26"/>
      <c r="BO58" s="26"/>
      <c r="BQ58" s="26"/>
      <c r="BS58" s="26"/>
      <c r="BU58" s="26"/>
      <c r="BW58" s="26"/>
      <c r="BY58" s="26"/>
      <c r="CA58" s="26"/>
      <c r="CC58" s="26"/>
      <c r="CE58" s="26"/>
      <c r="CG58" s="26"/>
      <c r="CI58" s="26"/>
      <c r="CK58" s="26"/>
      <c r="CM58" s="26"/>
      <c r="CO58" s="26"/>
      <c r="CQ58" s="26"/>
      <c r="CS58" s="26"/>
      <c r="CU58" s="26"/>
      <c r="DA58" s="26"/>
      <c r="DC58" s="75"/>
    </row>
    <row r="59" spans="2:204" ht="9.5" thickBot="1">
      <c r="B59" s="25" t="s">
        <v>85</v>
      </c>
      <c r="C59" s="25"/>
      <c r="D59" s="35"/>
      <c r="E59" s="25"/>
      <c r="F59" s="35"/>
      <c r="G59" s="25"/>
      <c r="H59" s="35"/>
      <c r="I59" s="25"/>
      <c r="J59" s="35">
        <f>J38+J57</f>
        <v>33128644.661439046</v>
      </c>
      <c r="K59" s="25"/>
      <c r="L59" s="35">
        <f>L38+L57</f>
        <v>82533974.738891467</v>
      </c>
      <c r="M59" s="25"/>
      <c r="N59" s="35">
        <f>N38+N57</f>
        <v>63648250.285388507</v>
      </c>
      <c r="O59" s="25"/>
      <c r="P59" s="35">
        <f>P38+P57</f>
        <v>46903424.102619842</v>
      </c>
      <c r="Q59" s="25"/>
      <c r="R59" s="35">
        <f>R38+R57</f>
        <v>34668952.07328485</v>
      </c>
      <c r="S59" s="25"/>
      <c r="T59" s="35">
        <f>T38+T57</f>
        <v>52432629.548257925</v>
      </c>
      <c r="U59" s="25"/>
      <c r="V59" s="35">
        <f>V38+V57</f>
        <v>36628233.758489162</v>
      </c>
      <c r="W59" s="25"/>
      <c r="X59" s="35">
        <f>X38+X57</f>
        <v>23112980.901688784</v>
      </c>
      <c r="Y59" s="25"/>
      <c r="Z59" s="35">
        <f>Z38+Z57</f>
        <v>19084171.855803143</v>
      </c>
      <c r="AA59" s="25"/>
      <c r="AB59" s="35">
        <f>AB38+AB57</f>
        <v>10335148.589358443</v>
      </c>
      <c r="AC59" s="25"/>
      <c r="AD59" s="35">
        <f>AD38+AD57</f>
        <v>8048691.7190114781</v>
      </c>
      <c r="AE59" s="25"/>
      <c r="AF59" s="35">
        <f>AF38+AF57</f>
        <v>7701434.8995795436</v>
      </c>
      <c r="AG59" s="25"/>
      <c r="AH59" s="35">
        <f>AH38+AH57</f>
        <v>1779503.7167624568</v>
      </c>
      <c r="AI59" s="25"/>
      <c r="AJ59" s="35">
        <f>AJ38+AJ57</f>
        <v>8401487.169308506</v>
      </c>
      <c r="AK59" s="25"/>
      <c r="AL59" s="35">
        <f>AL38+AL57</f>
        <v>5213721.6387859434</v>
      </c>
      <c r="AM59" s="25"/>
      <c r="AN59" s="35">
        <f>AN38+AN57</f>
        <v>5578537.7188451923</v>
      </c>
      <c r="AO59" s="25"/>
      <c r="AP59" s="35">
        <f>AP38+AP57</f>
        <v>3586190.5115086436</v>
      </c>
      <c r="AQ59" s="25"/>
      <c r="AR59" s="35">
        <f>AR38+AR57</f>
        <v>8813463.6160014775</v>
      </c>
      <c r="AS59" s="25"/>
      <c r="AT59" s="35">
        <f>AT38+AT57</f>
        <v>5954772.65289714</v>
      </c>
      <c r="AU59" s="25"/>
      <c r="AV59" s="35">
        <f>AV38+AV57</f>
        <v>4794654.4306888524</v>
      </c>
      <c r="AW59" s="25"/>
      <c r="AX59" s="35">
        <f>AX38+AX57</f>
        <v>2464786.1656587487</v>
      </c>
      <c r="AY59" s="25"/>
      <c r="AZ59" s="35">
        <f>AZ38+AZ57</f>
        <v>9143808.0551800206</v>
      </c>
      <c r="BA59" s="25"/>
      <c r="BB59" s="35">
        <f>BB38+BB57</f>
        <v>9149331.9042584989</v>
      </c>
      <c r="BC59" s="25"/>
      <c r="BD59" s="35">
        <f>BD38+BD57</f>
        <v>9063929.0360267647</v>
      </c>
      <c r="BE59" s="25"/>
      <c r="BF59" s="35">
        <f>BF38+BF57</f>
        <v>8130412.9565266129</v>
      </c>
      <c r="BG59" s="25"/>
      <c r="BH59" s="35">
        <f>BH38+BH57</f>
        <v>10281040.445174977</v>
      </c>
      <c r="BI59" s="25"/>
      <c r="BJ59" s="35">
        <f>BJ38+BJ57</f>
        <v>13118604.878813762</v>
      </c>
      <c r="BK59" s="25"/>
      <c r="BL59" s="35">
        <f>BL38+BL57</f>
        <v>11499388.168924995</v>
      </c>
      <c r="BM59" s="25"/>
      <c r="BN59" s="35">
        <f>BN38+BN57</f>
        <v>4085133.8591687502</v>
      </c>
      <c r="BO59" s="25"/>
      <c r="BP59" s="35">
        <f>BP38+BP57</f>
        <v>971657.96142750257</v>
      </c>
      <c r="BQ59" s="25"/>
      <c r="BR59" s="35">
        <f>BR38+BR57</f>
        <v>485514.17029999924</v>
      </c>
      <c r="BS59" s="25"/>
      <c r="BT59" s="35">
        <f>BT38+BT57</f>
        <v>256207.90999999861</v>
      </c>
      <c r="BU59" s="25"/>
      <c r="BV59" s="35">
        <f>BV38+BV57</f>
        <v>1087781.1549999947</v>
      </c>
      <c r="BW59" s="25"/>
      <c r="BX59" s="35">
        <f>BX38+BX57</f>
        <v>-175994.87000000081</v>
      </c>
      <c r="BY59" s="25"/>
      <c r="BZ59" s="35">
        <f>BZ38+BZ57</f>
        <v>-570915.78999999911</v>
      </c>
      <c r="CA59" s="25"/>
      <c r="CB59" s="35">
        <f>CB38+CB57</f>
        <v>-270101.15999999922</v>
      </c>
      <c r="CC59" s="25"/>
      <c r="CD59" s="35">
        <f>CD38+CD57</f>
        <v>-1260861.9699999862</v>
      </c>
      <c r="CE59" s="25"/>
      <c r="CF59" s="35">
        <f>CF38+CF57</f>
        <v>-1469911.4000000041</v>
      </c>
      <c r="CG59" s="25"/>
      <c r="CH59" s="35">
        <f>CH38+CH57</f>
        <v>-3921620.290000001</v>
      </c>
      <c r="CI59" s="25"/>
      <c r="CJ59" s="35">
        <f>CJ38+CJ57</f>
        <v>-1024136.3399999972</v>
      </c>
      <c r="CK59" s="25"/>
      <c r="CL59" s="35">
        <f>CL38+CL57</f>
        <v>3075658.0099999919</v>
      </c>
      <c r="CM59" s="25"/>
      <c r="CN59" s="35">
        <f>CN38+CN57</f>
        <v>1973248.1783523778</v>
      </c>
      <c r="CO59" s="25"/>
      <c r="CP59" s="35">
        <f>CP38+CP57</f>
        <v>1126058.2930284033</v>
      </c>
      <c r="CQ59" s="25"/>
      <c r="CR59" s="35">
        <f>CR38+CR57</f>
        <v>77232.492956410832</v>
      </c>
      <c r="CS59" s="25"/>
      <c r="CT59" s="35">
        <f>CT38+CT57</f>
        <v>7693944.2358698342</v>
      </c>
      <c r="CU59" s="25"/>
      <c r="CV59" s="35">
        <f>CV38+CV57</f>
        <v>3697195.398929155</v>
      </c>
      <c r="CX59" s="35">
        <f>CX38+CX57</f>
        <v>838314.36118960846</v>
      </c>
      <c r="CZ59" s="35">
        <f>CZ38+CZ57</f>
        <v>-972636.87262694701</v>
      </c>
      <c r="DA59" s="25"/>
      <c r="DB59" s="35">
        <f>DB38+DB57</f>
        <v>-1356625.8685708474</v>
      </c>
      <c r="DC59" s="78"/>
      <c r="DD59" s="35"/>
      <c r="DF59" s="35"/>
      <c r="DH59" s="35"/>
      <c r="DJ59" s="35">
        <f>DJ38+DJ57</f>
        <v>33128644.661439046</v>
      </c>
      <c r="DL59" s="35">
        <f>DL38+DL57</f>
        <v>18885724.453502972</v>
      </c>
      <c r="DN59" s="35">
        <f>DN38+DN57</f>
        <v>16744826.182768689</v>
      </c>
      <c r="DP59" s="35">
        <f>DP38+DP57</f>
        <v>12234472.029334981</v>
      </c>
      <c r="DR59" s="35">
        <f>DR38+DR57</f>
        <v>34668952.07328485</v>
      </c>
      <c r="DT59" s="35">
        <f>DT38+DT57</f>
        <v>15804395.78976877</v>
      </c>
      <c r="DV59" s="35">
        <f>DV38+DV57</f>
        <v>13515252.856800385</v>
      </c>
      <c r="DX59" s="35">
        <f>DX38+DX57</f>
        <v>4028809.0458856476</v>
      </c>
      <c r="DZ59" s="35">
        <f>DZ38+DZ57</f>
        <v>19084171.855803143</v>
      </c>
      <c r="EB59" s="35">
        <f>EB38+EB57</f>
        <v>2286456.8703469425</v>
      </c>
      <c r="ED59" s="35">
        <f>ED38+ED57</f>
        <v>347256.81943194859</v>
      </c>
      <c r="EF59" s="35">
        <f>EF38+EF57</f>
        <v>5921931.1828170819</v>
      </c>
      <c r="EH59" s="35">
        <f>EH38+EH57</f>
        <v>1779503.7167624568</v>
      </c>
      <c r="EJ59" s="35">
        <f>EJ38+EJ57</f>
        <v>3191911.8205225645</v>
      </c>
      <c r="EL59" s="35">
        <f>EL38+EL57</f>
        <v>-364816.0800592493</v>
      </c>
      <c r="EN59" s="35">
        <f>EN38+EN57</f>
        <v>1992347.2073365441</v>
      </c>
      <c r="EP59" s="35">
        <f>EP38+EP57</f>
        <v>3586190.5115086436</v>
      </c>
      <c r="ER59" s="35">
        <f>ER38+ER57</f>
        <v>2858690.9631043412</v>
      </c>
      <c r="ET59" s="35">
        <f>ET38+ET57</f>
        <v>1160118.2222082801</v>
      </c>
      <c r="EV59" s="35">
        <f>EV38+EV57</f>
        <v>2329868.2650301126</v>
      </c>
      <c r="EX59" s="35">
        <f>EX38+EX57</f>
        <v>2464786.1656587487</v>
      </c>
      <c r="EZ59" s="35">
        <f>EZ38+EZ57</f>
        <v>-5523.8490784971054</v>
      </c>
      <c r="FB59" s="35">
        <f>FB38+FB57</f>
        <v>85402.868231731351</v>
      </c>
      <c r="FD59" s="35">
        <f>FD38+FD57</f>
        <v>933516.07950016274</v>
      </c>
      <c r="FF59" s="35">
        <f>FF38+FF57</f>
        <v>8130412.9565266129</v>
      </c>
      <c r="FH59" s="35">
        <f>FH38+FH57</f>
        <v>-973826.55363877676</v>
      </c>
      <c r="FJ59" s="35">
        <f>FJ38+FJ57</f>
        <v>1619216.7098887777</v>
      </c>
      <c r="FL59" s="35">
        <f>FL38+FL57</f>
        <v>7414254.3097562362</v>
      </c>
      <c r="FN59" s="35">
        <f>FN38+FN57</f>
        <v>3113475.8977412446</v>
      </c>
      <c r="FP59" s="35">
        <f>FP38+FP57</f>
        <v>486143.79112749966</v>
      </c>
      <c r="FR59" s="35">
        <f>FR38+FR57</f>
        <v>229306.26029999787</v>
      </c>
      <c r="FT59" s="35">
        <f>FT38+FT57</f>
        <v>256207.90999999861</v>
      </c>
      <c r="FV59" s="35">
        <f>FV38+FV57</f>
        <v>1263776.0249999973</v>
      </c>
      <c r="FX59" s="35">
        <f>FX38+FX57</f>
        <v>394920.91999999812</v>
      </c>
      <c r="FZ59" s="35">
        <f>FZ38+FZ57</f>
        <v>-300814.62999999797</v>
      </c>
      <c r="GB59" s="35">
        <f>GB38+GB57</f>
        <v>-270101.15999999922</v>
      </c>
      <c r="GD59" s="35">
        <f>GD38+GD57</f>
        <v>209049.4300000103</v>
      </c>
      <c r="GF59" s="35">
        <f>GF38+GF57</f>
        <v>2451708.8899999931</v>
      </c>
      <c r="GH59" s="35">
        <f>GH38+GH57</f>
        <v>-2897483.950000003</v>
      </c>
      <c r="GJ59" s="35">
        <f>GJ38+GJ57</f>
        <v>-1024136.3399999972</v>
      </c>
      <c r="GL59" s="35">
        <f>GL38+GL57</f>
        <v>1102409.8316476226</v>
      </c>
      <c r="GN59" s="35">
        <f>GN38+GN57</f>
        <v>847189.88532396697</v>
      </c>
      <c r="GP59" s="35">
        <f>GP38+GP57</f>
        <v>1048825.800071998</v>
      </c>
      <c r="GR59" s="35">
        <f>GR38+GR57</f>
        <v>77232.492956410832</v>
      </c>
      <c r="GT59" s="35">
        <f>GT38+GT57</f>
        <v>3996748.836940675</v>
      </c>
      <c r="GV59" s="35">
        <f>GV38+GV57</f>
        <v>2858881.037739553</v>
      </c>
    </row>
    <row r="61" spans="2:204" ht="10.5">
      <c r="B61" s="87" t="s">
        <v>197</v>
      </c>
      <c r="C61" s="85"/>
      <c r="D61" s="101"/>
      <c r="E61" s="85"/>
      <c r="F61" s="101"/>
      <c r="G61" s="101"/>
      <c r="H61" s="101"/>
      <c r="I61" s="101"/>
      <c r="J61" s="101">
        <f>L61</f>
        <v>8529129</v>
      </c>
      <c r="K61" s="85"/>
      <c r="L61" s="101">
        <f>N61</f>
        <v>8529129</v>
      </c>
      <c r="M61" s="85"/>
      <c r="N61" s="101">
        <f>P61</f>
        <v>8529129</v>
      </c>
      <c r="O61" s="101"/>
      <c r="P61" s="101">
        <f>R61</f>
        <v>8529129</v>
      </c>
      <c r="Q61" s="101"/>
      <c r="R61" s="101">
        <f>T61</f>
        <v>8529129</v>
      </c>
      <c r="S61" s="85"/>
      <c r="T61" s="101">
        <f>V61</f>
        <v>8529129</v>
      </c>
      <c r="U61" s="85"/>
      <c r="V61" s="101">
        <f>X61</f>
        <v>8529129</v>
      </c>
      <c r="W61" s="101"/>
      <c r="X61" s="101">
        <f>Z61</f>
        <v>8529129</v>
      </c>
      <c r="Y61" s="101"/>
      <c r="Z61" s="101">
        <f>AB61</f>
        <v>8529129</v>
      </c>
      <c r="AA61" s="85"/>
      <c r="AB61" s="101">
        <f>AD61</f>
        <v>8529129</v>
      </c>
      <c r="AC61" s="85"/>
      <c r="AD61" s="101">
        <f>AF61</f>
        <v>8529129</v>
      </c>
      <c r="AE61" s="101"/>
      <c r="AF61" s="101">
        <f>AH61</f>
        <v>8529129</v>
      </c>
      <c r="AG61" s="101"/>
      <c r="AH61" s="101">
        <f>AJ61</f>
        <v>8529129</v>
      </c>
      <c r="AI61" s="85"/>
      <c r="AJ61" s="101">
        <f>AL61</f>
        <v>8529129</v>
      </c>
      <c r="AK61" s="85"/>
      <c r="AL61" s="101">
        <f>AN61</f>
        <v>8529129</v>
      </c>
      <c r="AM61" s="101"/>
      <c r="AN61" s="101">
        <f>AP61</f>
        <v>8529129</v>
      </c>
      <c r="AO61" s="101"/>
      <c r="AP61" s="101">
        <f>AR61</f>
        <v>8529129</v>
      </c>
      <c r="AQ61" s="85"/>
      <c r="AR61" s="101">
        <f>AT61</f>
        <v>8529129</v>
      </c>
      <c r="AS61" s="85"/>
      <c r="AT61" s="101">
        <f>AV61</f>
        <v>8529129</v>
      </c>
      <c r="AU61" s="101"/>
      <c r="AV61" s="101">
        <f>AX61</f>
        <v>8529129</v>
      </c>
      <c r="AW61" s="101"/>
      <c r="AX61" s="101">
        <v>8529129</v>
      </c>
      <c r="AY61" s="85"/>
      <c r="AZ61" s="101">
        <f>BB61</f>
        <v>8529129</v>
      </c>
      <c r="BA61" s="85"/>
      <c r="BB61" s="101">
        <f>BD61</f>
        <v>8529129</v>
      </c>
      <c r="BC61" s="101"/>
      <c r="BD61" s="101">
        <v>8529129</v>
      </c>
      <c r="BE61" s="101"/>
      <c r="BF61" s="101">
        <v>8529129</v>
      </c>
      <c r="BG61" s="85"/>
      <c r="BH61" s="101">
        <v>8529129</v>
      </c>
      <c r="BI61" s="85"/>
      <c r="BJ61" s="101">
        <v>8529129</v>
      </c>
      <c r="BK61" s="101"/>
      <c r="BL61" s="101">
        <v>8529129</v>
      </c>
      <c r="BM61" s="101"/>
      <c r="BN61" s="101">
        <v>8529129</v>
      </c>
      <c r="BO61" s="101"/>
      <c r="BP61" s="101">
        <v>8529129</v>
      </c>
      <c r="BQ61" s="85"/>
      <c r="BR61" s="101">
        <v>8529129</v>
      </c>
      <c r="BS61" s="101"/>
      <c r="BT61" s="101">
        <f>BV61</f>
        <v>8529129</v>
      </c>
      <c r="BU61" s="101"/>
      <c r="BV61" s="101">
        <v>8529129</v>
      </c>
      <c r="BW61" s="85"/>
      <c r="BX61" s="101">
        <v>8529129</v>
      </c>
      <c r="BY61" s="101"/>
      <c r="BZ61" s="101">
        <v>8529129</v>
      </c>
      <c r="CA61" s="101"/>
      <c r="CB61" s="101">
        <v>8529129</v>
      </c>
      <c r="CC61" s="101"/>
      <c r="CD61" s="101">
        <v>8529129</v>
      </c>
      <c r="CE61" s="85"/>
      <c r="CF61" s="101">
        <v>8529129</v>
      </c>
      <c r="CG61" s="101"/>
      <c r="CH61" s="101">
        <f>CF61</f>
        <v>8529129</v>
      </c>
      <c r="CI61" s="101"/>
      <c r="CJ61" s="101">
        <f>CH61</f>
        <v>8529129</v>
      </c>
      <c r="CK61" s="101"/>
      <c r="CL61" s="101">
        <v>8519211.1917808224</v>
      </c>
      <c r="CM61" s="85"/>
      <c r="CN61" s="101">
        <v>8515868.9267399255</v>
      </c>
      <c r="CO61" s="101"/>
      <c r="CP61" s="101">
        <v>8509129</v>
      </c>
      <c r="CQ61" s="85"/>
      <c r="CR61" s="101">
        <v>8488906.777777778</v>
      </c>
      <c r="CS61" s="101"/>
      <c r="CT61" s="101">
        <v>6698377.4493150692</v>
      </c>
      <c r="CU61" s="101"/>
      <c r="CV61" s="101">
        <v>6691384.2527472526</v>
      </c>
      <c r="CW61" s="101"/>
      <c r="CX61" s="101">
        <v>6682000</v>
      </c>
      <c r="CY61" s="101"/>
      <c r="CZ61" s="101">
        <v>6682000</v>
      </c>
      <c r="DA61" s="101"/>
      <c r="DB61" s="101">
        <v>5284723.2876712326</v>
      </c>
      <c r="DC61" s="112"/>
      <c r="DD61" s="101"/>
      <c r="DE61" s="101"/>
      <c r="DF61" s="101"/>
      <c r="DG61" s="101"/>
      <c r="DH61" s="101"/>
      <c r="DI61" s="101"/>
      <c r="DJ61" s="101">
        <f>DL61</f>
        <v>8529129</v>
      </c>
      <c r="DK61" s="101"/>
      <c r="DL61" s="101">
        <f>DN61</f>
        <v>8529129</v>
      </c>
      <c r="DM61" s="101"/>
      <c r="DN61" s="101">
        <f>DP61</f>
        <v>8529129</v>
      </c>
      <c r="DO61" s="101"/>
      <c r="DP61" s="101">
        <f>DR61</f>
        <v>8529129</v>
      </c>
      <c r="DQ61" s="101"/>
      <c r="DR61" s="101">
        <f>DT61</f>
        <v>8529129</v>
      </c>
      <c r="DS61" s="101"/>
      <c r="DT61" s="101">
        <f>DV61</f>
        <v>8529129</v>
      </c>
      <c r="DU61" s="101"/>
      <c r="DV61" s="101">
        <f>DX61</f>
        <v>8529129</v>
      </c>
      <c r="DW61" s="101"/>
      <c r="DX61" s="101">
        <f>DZ61</f>
        <v>8529129</v>
      </c>
      <c r="DY61" s="101"/>
      <c r="DZ61" s="101">
        <f>EB61</f>
        <v>8529129</v>
      </c>
      <c r="EA61" s="101"/>
      <c r="EB61" s="101">
        <f>ED61</f>
        <v>8529129</v>
      </c>
      <c r="EC61" s="101"/>
      <c r="ED61" s="101">
        <f>EF61</f>
        <v>8529129</v>
      </c>
      <c r="EE61" s="101"/>
      <c r="EF61" s="101">
        <f>EH61</f>
        <v>8529129</v>
      </c>
      <c r="EG61" s="101"/>
      <c r="EH61" s="101">
        <f>EJ61</f>
        <v>8529129</v>
      </c>
      <c r="EI61" s="101"/>
      <c r="EJ61" s="101">
        <f>EL61</f>
        <v>8529129</v>
      </c>
      <c r="EK61" s="101"/>
      <c r="EL61" s="101">
        <f>EN61</f>
        <v>8529129</v>
      </c>
      <c r="EM61" s="101"/>
      <c r="EN61" s="101">
        <f>EP61</f>
        <v>8529129</v>
      </c>
      <c r="EO61" s="101"/>
      <c r="EP61" s="101">
        <f>ER61</f>
        <v>8529129</v>
      </c>
      <c r="EQ61" s="101"/>
      <c r="ER61" s="101">
        <f>ET61</f>
        <v>8529129</v>
      </c>
      <c r="ES61" s="101"/>
      <c r="ET61" s="101">
        <f>EV61</f>
        <v>8529129</v>
      </c>
      <c r="EU61" s="101"/>
      <c r="EV61" s="101">
        <f>EX61</f>
        <v>8529129</v>
      </c>
      <c r="EW61" s="101"/>
      <c r="EX61" s="101">
        <f>EZ61</f>
        <v>8529129</v>
      </c>
      <c r="EY61" s="101"/>
      <c r="EZ61" s="101">
        <f>FB61</f>
        <v>8529129</v>
      </c>
      <c r="FA61" s="101"/>
      <c r="FB61" s="101">
        <f>FD61</f>
        <v>8529129</v>
      </c>
      <c r="FC61" s="101"/>
      <c r="FD61" s="101">
        <f>FF61</f>
        <v>8529129</v>
      </c>
      <c r="FE61" s="101"/>
      <c r="FF61" s="101">
        <f>FH61</f>
        <v>8529129</v>
      </c>
      <c r="FG61" s="101"/>
      <c r="FH61" s="101">
        <f>FJ61</f>
        <v>8529129</v>
      </c>
      <c r="FI61" s="101"/>
      <c r="FJ61" s="101">
        <f>FL61</f>
        <v>8529129</v>
      </c>
      <c r="FK61" s="101"/>
      <c r="FL61" s="101">
        <f>FN61</f>
        <v>8529129</v>
      </c>
      <c r="FM61" s="101"/>
      <c r="FN61" s="101">
        <f>FP61</f>
        <v>8529129</v>
      </c>
      <c r="FO61" s="101"/>
      <c r="FP61" s="101">
        <f>FR61</f>
        <v>8529129</v>
      </c>
      <c r="FQ61" s="101"/>
      <c r="FR61" s="101">
        <f>FT61</f>
        <v>8529129</v>
      </c>
      <c r="FS61" s="101"/>
      <c r="FT61" s="101">
        <f>FV61</f>
        <v>8529129</v>
      </c>
      <c r="FU61" s="101"/>
      <c r="FV61" s="101">
        <v>8529129</v>
      </c>
      <c r="FW61" s="101"/>
      <c r="FX61" s="101">
        <v>8529129</v>
      </c>
      <c r="FY61" s="101"/>
      <c r="FZ61" s="101">
        <v>8529129</v>
      </c>
      <c r="GA61" s="101"/>
      <c r="GB61" s="101">
        <f>CB61</f>
        <v>8529129</v>
      </c>
      <c r="GC61" s="101"/>
      <c r="GD61" s="101">
        <v>8529129</v>
      </c>
      <c r="GE61" s="101"/>
      <c r="GF61" s="101">
        <v>8529129</v>
      </c>
      <c r="GG61" s="101"/>
      <c r="GH61" s="101">
        <f>GF61</f>
        <v>8529129</v>
      </c>
      <c r="GI61" s="101"/>
      <c r="GJ61" s="101">
        <f>GH61</f>
        <v>8529129</v>
      </c>
      <c r="GK61" s="101"/>
      <c r="GL61" s="101">
        <f>GJ61</f>
        <v>8529129</v>
      </c>
      <c r="GM61" s="101"/>
      <c r="GN61" s="101">
        <f>GL61</f>
        <v>8529129</v>
      </c>
      <c r="GO61" s="101"/>
      <c r="GP61" s="101">
        <f>GN61</f>
        <v>8529129</v>
      </c>
      <c r="GQ61" s="101"/>
      <c r="GR61" s="101">
        <v>8488906.777777778</v>
      </c>
      <c r="GS61" s="101"/>
      <c r="GT61" s="101">
        <v>6719129</v>
      </c>
      <c r="GU61" s="101"/>
      <c r="GV61" s="101">
        <v>6709846.75</v>
      </c>
    </row>
    <row r="62" spans="2:204" ht="10.5">
      <c r="B62" s="88" t="s">
        <v>198</v>
      </c>
      <c r="C62" s="85"/>
      <c r="D62" s="85"/>
      <c r="E62" s="85"/>
      <c r="F62" s="85"/>
      <c r="G62" s="85"/>
      <c r="H62" s="85"/>
      <c r="I62" s="85"/>
      <c r="J62" s="85">
        <f>J38/J61</f>
        <v>3.8841767619459202</v>
      </c>
      <c r="K62" s="85"/>
      <c r="L62" s="85">
        <f>L38/L61</f>
        <v>9.6804625113410125</v>
      </c>
      <c r="M62" s="85"/>
      <c r="N62" s="85">
        <f>N38/N61</f>
        <v>7.4624560474332737</v>
      </c>
      <c r="O62" s="85"/>
      <c r="P62" s="85">
        <f>P38/P61</f>
        <v>5.4992044442779378</v>
      </c>
      <c r="Q62" s="85"/>
      <c r="R62" s="85">
        <f>R38/R61</f>
        <v>4.0647705144669342</v>
      </c>
      <c r="S62" s="85"/>
      <c r="T62" s="85">
        <f>T38/T61</f>
        <v>6.1497710596542658</v>
      </c>
      <c r="U62" s="85"/>
      <c r="V62" s="85">
        <f>V38/V61</f>
        <v>4.2944870171959133</v>
      </c>
      <c r="W62" s="85"/>
      <c r="X62" s="85">
        <f>X38/X61</f>
        <v>2.7098875983337551</v>
      </c>
      <c r="Y62" s="85"/>
      <c r="Z62" s="85">
        <f>Z38/Z61</f>
        <v>2.2375288093078605</v>
      </c>
      <c r="AA62" s="85"/>
      <c r="AB62" s="85">
        <f>AB38/AB61</f>
        <v>1.2077676828851389</v>
      </c>
      <c r="AC62" s="85"/>
      <c r="AD62" s="85">
        <f>AD38/AD61</f>
        <v>0.94367100310142782</v>
      </c>
      <c r="AE62" s="85"/>
      <c r="AF62" s="85">
        <f>AF38/AF61</f>
        <v>0.90295678486977315</v>
      </c>
      <c r="AG62" s="85"/>
      <c r="AH62" s="85">
        <f>AH38/AH61</f>
        <v>0.20863838696336481</v>
      </c>
      <c r="AI62" s="85"/>
      <c r="AJ62" s="85">
        <f>AJ38/AJ61</f>
        <v>0.98296213825684975</v>
      </c>
      <c r="AK62" s="85"/>
      <c r="AL62" s="85">
        <f>AL38/AL61</f>
        <v>0.61128418139600693</v>
      </c>
      <c r="AM62" s="85"/>
      <c r="AN62" s="85">
        <f>AN38/AN61</f>
        <v>0.65405713981406455</v>
      </c>
      <c r="AO62" s="85"/>
      <c r="AP62" s="85">
        <f>AP38/AP61</f>
        <v>0.42046386114087891</v>
      </c>
      <c r="AQ62" s="85"/>
      <c r="AR62" s="85">
        <f>AR38/AR61</f>
        <v>1.0329465172823014</v>
      </c>
      <c r="AS62" s="85"/>
      <c r="AT62" s="85">
        <f>AT38/AT61</f>
        <v>0.69816890480811578</v>
      </c>
      <c r="AU62" s="85"/>
      <c r="AV62" s="85">
        <f>AV38/AV61</f>
        <v>0.56215053502987844</v>
      </c>
      <c r="AW62" s="85"/>
      <c r="AX62" s="85">
        <f>AX38/AX61</f>
        <v>0.28898451010164683</v>
      </c>
      <c r="AY62" s="85"/>
      <c r="AZ62" s="85">
        <f>AZ38/AZ61</f>
        <v>1.0711873422456175</v>
      </c>
      <c r="BA62" s="85"/>
      <c r="BB62" s="85">
        <f>BB38/BB61</f>
        <v>1.0727158546035005</v>
      </c>
      <c r="BC62" s="85"/>
      <c r="BD62" s="85">
        <f>BD38/BD61</f>
        <v>1.0627027725840195</v>
      </c>
      <c r="BE62" s="85"/>
      <c r="BF62" s="85">
        <f>BF38/BF61</f>
        <v>0.95325243134751658</v>
      </c>
      <c r="BG62" s="85"/>
      <c r="BH62" s="85">
        <f>BH38/BH61</f>
        <v>1.206856728884623</v>
      </c>
      <c r="BI62" s="85"/>
      <c r="BJ62" s="85">
        <f>BJ38/BJ61</f>
        <v>1.5380943210981757</v>
      </c>
      <c r="BK62" s="85"/>
      <c r="BL62" s="85">
        <f>BL38/BL61</f>
        <v>1.3482488269230064</v>
      </c>
      <c r="BM62" s="85"/>
      <c r="BN62" s="85">
        <f>BN38/BN61</f>
        <v>0.4789626067525477</v>
      </c>
      <c r="BO62" s="85"/>
      <c r="BP62" s="85">
        <f>BP38/BP61</f>
        <v>0.11392229633617953</v>
      </c>
      <c r="BQ62" s="85"/>
      <c r="BR62" s="85">
        <f>BR38/BR61</f>
        <v>5.692423813732906E-2</v>
      </c>
      <c r="BS62" s="85"/>
      <c r="BT62" s="85">
        <f>BT38/BT61</f>
        <v>3.0039164608718968E-2</v>
      </c>
      <c r="BU62" s="85"/>
      <c r="BV62" s="85">
        <f>BV38/BV61</f>
        <v>0.12686727624825403</v>
      </c>
      <c r="BW62" s="85"/>
      <c r="BX62" s="85">
        <f>BX38/BX61</f>
        <v>-2.0634565381764166E-2</v>
      </c>
      <c r="BY62" s="85"/>
      <c r="BZ62" s="85">
        <f>BZ38/BZ61</f>
        <v>-6.6937173772374542E-2</v>
      </c>
      <c r="CA62" s="85"/>
      <c r="CB62" s="85">
        <f>CB38/CB61</f>
        <v>-3.1668082403255859E-2</v>
      </c>
      <c r="CC62" s="85"/>
      <c r="CD62" s="85">
        <f>CD38/CD61</f>
        <v>-0.14833712445901406</v>
      </c>
      <c r="CE62" s="85"/>
      <c r="CF62" s="85">
        <f>CF38/CF61</f>
        <v>-0.172340153373223</v>
      </c>
      <c r="CG62" s="85"/>
      <c r="CH62" s="85">
        <f>CH38/CH61</f>
        <v>-0.45979141480917934</v>
      </c>
      <c r="CI62" s="85"/>
      <c r="CJ62" s="85">
        <f>CJ38/CJ61</f>
        <v>-0.12007513780129216</v>
      </c>
      <c r="CK62" s="85"/>
      <c r="CL62" s="85">
        <f>CL38/CL61</f>
        <v>0.3620794027240441</v>
      </c>
      <c r="CM62" s="85"/>
      <c r="CN62" s="85">
        <f>CN38/CN61</f>
        <v>0.23171424963533152</v>
      </c>
      <c r="CO62" s="85"/>
      <c r="CP62" s="85">
        <f>CP38/CP61</f>
        <v>0.13233531810698879</v>
      </c>
      <c r="CQ62" s="85"/>
      <c r="CR62" s="85">
        <f>CR38/CR61</f>
        <v>9.0980493693946212E-3</v>
      </c>
      <c r="CS62" s="85"/>
      <c r="CT62" s="85">
        <f>CT38/CT61</f>
        <v>1.1485878824067368</v>
      </c>
      <c r="CU62" s="85"/>
      <c r="CV62" s="85">
        <f>CV38/CV61</f>
        <v>0.55253072597216535</v>
      </c>
      <c r="CW62" s="85"/>
      <c r="CX62" s="85">
        <f>CX38/CX61</f>
        <v>0.12545859939982168</v>
      </c>
      <c r="CY62" s="85"/>
      <c r="CZ62" s="85">
        <f>CZ38/CZ61</f>
        <v>-0.14566691034524798</v>
      </c>
      <c r="DA62" s="85"/>
      <c r="DB62" s="85">
        <f>DB38/DB61</f>
        <v>-0.25854174460909779</v>
      </c>
      <c r="DC62" s="86"/>
      <c r="DD62" s="85"/>
      <c r="DE62" s="85"/>
      <c r="DF62" s="85"/>
      <c r="DG62" s="85"/>
      <c r="DH62" s="85"/>
      <c r="DI62" s="85"/>
      <c r="DJ62" s="85">
        <f>DJ38/DJ61</f>
        <v>3.8841767619459202</v>
      </c>
      <c r="DK62" s="85"/>
      <c r="DL62" s="85">
        <f>DL38/DL61</f>
        <v>2.2180064639077415</v>
      </c>
      <c r="DM62" s="85"/>
      <c r="DN62" s="85">
        <f>DN38/DN61</f>
        <v>1.9632516031553386</v>
      </c>
      <c r="DO62" s="85"/>
      <c r="DP62" s="85">
        <f>DP38/DP61</f>
        <v>1.4344339298110018</v>
      </c>
      <c r="DQ62" s="85"/>
      <c r="DR62" s="85">
        <f>DR38/DR61</f>
        <v>4.0647705144669342</v>
      </c>
      <c r="DS62" s="85"/>
      <c r="DT62" s="85">
        <f>DT38/DT61</f>
        <v>1.8552840424583532</v>
      </c>
      <c r="DU62" s="85"/>
      <c r="DV62" s="85">
        <f>DV38/DV61</f>
        <v>1.5845994188621586</v>
      </c>
      <c r="DW62" s="85"/>
      <c r="DX62" s="85">
        <f>DX38/DX61</f>
        <v>0.47235878902589556</v>
      </c>
      <c r="DY62" s="85"/>
      <c r="DZ62" s="85">
        <f>DZ38/DZ61</f>
        <v>2.2375288093078605</v>
      </c>
      <c r="EA62" s="85"/>
      <c r="EB62" s="85">
        <f>EB38/EB61</f>
        <v>0.26409667978370854</v>
      </c>
      <c r="EC62" s="85"/>
      <c r="ED62" s="85">
        <f>ED38/ED61</f>
        <v>4.0714218231656316E-2</v>
      </c>
      <c r="EE62" s="85"/>
      <c r="EF62" s="85">
        <f>EF38/EF61</f>
        <v>0.69431839790640781</v>
      </c>
      <c r="EG62" s="85"/>
      <c r="EH62" s="85">
        <f>EH38/EH61</f>
        <v>0.20863838696336481</v>
      </c>
      <c r="EI62" s="85"/>
      <c r="EJ62" s="85">
        <f>EJ38/EJ61</f>
        <v>0.37167795686084293</v>
      </c>
      <c r="EK62" s="85"/>
      <c r="EL62" s="85">
        <f>EL38/EL61</f>
        <v>-4.2772958418057609E-2</v>
      </c>
      <c r="EM62" s="85"/>
      <c r="EN62" s="85">
        <f>EN38/EN61</f>
        <v>0.23359327867318505</v>
      </c>
      <c r="EO62" s="85"/>
      <c r="EP62" s="85">
        <f>EP38/EP61</f>
        <v>0.42046386114087891</v>
      </c>
      <c r="EQ62" s="85"/>
      <c r="ER62" s="85">
        <f>ER38/ER61</f>
        <v>0.33477761247418597</v>
      </c>
      <c r="ES62" s="85"/>
      <c r="ET62" s="85">
        <f>ET38/ET61</f>
        <v>0.13601836977823645</v>
      </c>
      <c r="EU62" s="85"/>
      <c r="EV62" s="85">
        <f>EV38/EV61</f>
        <v>0.27316602492823272</v>
      </c>
      <c r="EW62" s="85"/>
      <c r="EX62" s="85">
        <f>EX38/EX61</f>
        <v>0.28898451010164683</v>
      </c>
      <c r="EY62" s="85"/>
      <c r="EZ62" s="85">
        <f>EZ38/EZ61</f>
        <v>-1.5285123578852079E-3</v>
      </c>
      <c r="FA62" s="85"/>
      <c r="FB62" s="85">
        <f>FB38/FB61</f>
        <v>1.0013082019480694E-2</v>
      </c>
      <c r="FC62" s="85"/>
      <c r="FD62" s="85">
        <f>FD38/FD61</f>
        <v>0.10945034123650407</v>
      </c>
      <c r="FE62" s="85"/>
      <c r="FF62" s="85">
        <f>FF38/FF61</f>
        <v>0.95325243134751658</v>
      </c>
      <c r="FG62" s="85"/>
      <c r="FH62" s="85">
        <f>FH38/FH61</f>
        <v>-0.11272314835885079</v>
      </c>
      <c r="FI62" s="85"/>
      <c r="FJ62" s="85">
        <f>FJ38/FJ61</f>
        <v>0.18984549417517049</v>
      </c>
      <c r="FK62" s="85"/>
      <c r="FL62" s="85">
        <f>FL38/FL61</f>
        <v>0.86928622017045776</v>
      </c>
      <c r="FM62" s="85"/>
      <c r="FN62" s="85">
        <f>FN38/FN61</f>
        <v>0.36504031041636781</v>
      </c>
      <c r="FO62" s="85"/>
      <c r="FP62" s="85">
        <f>FP38/FP61</f>
        <v>5.6998058198850045E-2</v>
      </c>
      <c r="FQ62" s="85"/>
      <c r="FR62" s="85">
        <f>FR38/FR61</f>
        <v>2.6885073528609763E-2</v>
      </c>
      <c r="FS62" s="85"/>
      <c r="FT62" s="85">
        <f>FT38/FT61</f>
        <v>3.0039164608718968E-2</v>
      </c>
      <c r="FU62" s="85"/>
      <c r="FV62" s="85">
        <f>FV38/FV61</f>
        <v>0.14750184163001842</v>
      </c>
      <c r="FW62" s="85"/>
      <c r="FX62" s="85">
        <f>FX38/FX61</f>
        <v>4.6302608390610359E-2</v>
      </c>
      <c r="FY62" s="85"/>
      <c r="FZ62" s="85">
        <f>FZ38/FZ61</f>
        <v>-3.526909136911846E-2</v>
      </c>
      <c r="GA62" s="85"/>
      <c r="GB62" s="85">
        <f>GB38/GB61</f>
        <v>-3.1668082403255859E-2</v>
      </c>
      <c r="GC62" s="85"/>
      <c r="GD62" s="85">
        <f>GD38/GD61</f>
        <v>2.4003028914208038E-2</v>
      </c>
      <c r="GE62" s="85"/>
      <c r="GF62" s="85">
        <f>GF38/GF61</f>
        <v>0.2874512614359559</v>
      </c>
      <c r="GG62" s="85"/>
      <c r="GH62" s="85">
        <f>GH38/GH61</f>
        <v>-0.33971627700788709</v>
      </c>
      <c r="GI62" s="85"/>
      <c r="GJ62" s="85">
        <f>GJ38/GJ61</f>
        <v>-0.12007513780129216</v>
      </c>
      <c r="GK62" s="85"/>
      <c r="GL62" s="85">
        <f>GL38/GL61</f>
        <v>0.13030436304194984</v>
      </c>
      <c r="GM62" s="85"/>
      <c r="GN62" s="85">
        <f>GN38/GN61</f>
        <v>9.9329003620881678E-2</v>
      </c>
      <c r="GO62" s="85"/>
      <c r="GP62" s="85">
        <f>GP38/GP61</f>
        <v>0.12296986011959697</v>
      </c>
      <c r="GQ62" s="85"/>
      <c r="GR62" s="85">
        <f>GR38/GR61</f>
        <v>9.0980493693946212E-3</v>
      </c>
      <c r="GS62" s="85"/>
      <c r="GT62" s="85">
        <f>GT38/GT61</f>
        <v>0.59479134440500769</v>
      </c>
      <c r="GU62" s="85"/>
      <c r="GV62" s="85">
        <f>GV38/GV61</f>
        <v>0.4260724788892612</v>
      </c>
    </row>
    <row r="63" spans="2:204" ht="10.5">
      <c r="B63" s="88" t="s">
        <v>199</v>
      </c>
      <c r="C63" s="85"/>
      <c r="D63" s="85"/>
      <c r="E63" s="85"/>
      <c r="F63" s="85"/>
      <c r="G63" s="85"/>
      <c r="H63" s="85"/>
      <c r="I63" s="85"/>
      <c r="J63" s="85">
        <f>J62</f>
        <v>3.8841767619459202</v>
      </c>
      <c r="K63" s="85"/>
      <c r="L63" s="85">
        <f>L62</f>
        <v>9.6804625113410125</v>
      </c>
      <c r="M63" s="85"/>
      <c r="N63" s="85">
        <f>N62</f>
        <v>7.4624560474332737</v>
      </c>
      <c r="O63" s="85"/>
      <c r="P63" s="85">
        <f>P62</f>
        <v>5.4992044442779378</v>
      </c>
      <c r="Q63" s="85"/>
      <c r="R63" s="85">
        <f>R62</f>
        <v>4.0647705144669342</v>
      </c>
      <c r="S63" s="85"/>
      <c r="T63" s="85">
        <f>T62</f>
        <v>6.1497710596542658</v>
      </c>
      <c r="U63" s="85"/>
      <c r="V63" s="85">
        <f>V62</f>
        <v>4.2944870171959133</v>
      </c>
      <c r="W63" s="85"/>
      <c r="X63" s="85">
        <f>X62</f>
        <v>2.7098875983337551</v>
      </c>
      <c r="Y63" s="85"/>
      <c r="Z63" s="85">
        <f>Z62</f>
        <v>2.2375288093078605</v>
      </c>
      <c r="AA63" s="85"/>
      <c r="AB63" s="85">
        <f>AB62</f>
        <v>1.2077676828851389</v>
      </c>
      <c r="AC63" s="85"/>
      <c r="AD63" s="85">
        <f>AD62</f>
        <v>0.94367100310142782</v>
      </c>
      <c r="AE63" s="85"/>
      <c r="AF63" s="85">
        <f>AF62</f>
        <v>0.90295678486977315</v>
      </c>
      <c r="AG63" s="85"/>
      <c r="AH63" s="85">
        <f>AH62</f>
        <v>0.20863838696336481</v>
      </c>
      <c r="AI63" s="85"/>
      <c r="AJ63" s="85">
        <f>AJ62</f>
        <v>0.98296213825684975</v>
      </c>
      <c r="AK63" s="85"/>
      <c r="AL63" s="85">
        <f>AL62</f>
        <v>0.61128418139600693</v>
      </c>
      <c r="AM63" s="85"/>
      <c r="AN63" s="85">
        <f>AN62</f>
        <v>0.65405713981406455</v>
      </c>
      <c r="AO63" s="85"/>
      <c r="AP63" s="85">
        <f>AP62</f>
        <v>0.42046386114087891</v>
      </c>
      <c r="AQ63" s="85"/>
      <c r="AR63" s="85">
        <f>AR62</f>
        <v>1.0329465172823014</v>
      </c>
      <c r="AS63" s="85"/>
      <c r="AT63" s="85">
        <f>AT62</f>
        <v>0.69816890480811578</v>
      </c>
      <c r="AU63" s="85"/>
      <c r="AV63" s="85">
        <f>AV62</f>
        <v>0.56215053502987844</v>
      </c>
      <c r="AW63" s="85"/>
      <c r="AX63" s="85">
        <f>AX62</f>
        <v>0.28898451010164683</v>
      </c>
      <c r="AY63" s="85"/>
      <c r="AZ63" s="85">
        <f>AZ62</f>
        <v>1.0711873422456175</v>
      </c>
      <c r="BA63" s="85"/>
      <c r="BB63" s="85">
        <f>BB62</f>
        <v>1.0727158546035005</v>
      </c>
      <c r="BC63" s="85"/>
      <c r="BD63" s="85">
        <f>BD62</f>
        <v>1.0627027725840195</v>
      </c>
      <c r="BE63" s="85"/>
      <c r="BF63" s="85">
        <f>BF62</f>
        <v>0.95325243134751658</v>
      </c>
      <c r="BG63" s="85"/>
      <c r="BH63" s="85">
        <f>BH62</f>
        <v>1.206856728884623</v>
      </c>
      <c r="BI63" s="85"/>
      <c r="BJ63" s="85">
        <f>BJ62</f>
        <v>1.5380943210981757</v>
      </c>
      <c r="BK63" s="85"/>
      <c r="BL63" s="85">
        <f>BL62</f>
        <v>1.3482488269230064</v>
      </c>
      <c r="BM63" s="85"/>
      <c r="BN63" s="85">
        <f>BN62</f>
        <v>0.4789626067525477</v>
      </c>
      <c r="BO63" s="85"/>
      <c r="BP63" s="85">
        <f>BP62</f>
        <v>0.11392229633617953</v>
      </c>
      <c r="BQ63" s="85"/>
      <c r="BR63" s="85">
        <f>BR62</f>
        <v>5.692423813732906E-2</v>
      </c>
      <c r="BS63" s="85"/>
      <c r="BT63" s="85">
        <f>BT62</f>
        <v>3.0039164608718968E-2</v>
      </c>
      <c r="BU63" s="85"/>
      <c r="BV63" s="85">
        <f>BV62</f>
        <v>0.12686727624825403</v>
      </c>
      <c r="BW63" s="85"/>
      <c r="BX63" s="85">
        <f>BX62</f>
        <v>-2.0634565381764166E-2</v>
      </c>
      <c r="BY63" s="85"/>
      <c r="BZ63" s="85">
        <f>BZ62</f>
        <v>-6.6937173772374542E-2</v>
      </c>
      <c r="CA63" s="85"/>
      <c r="CB63" s="85">
        <f>CB62</f>
        <v>-3.1668082403255859E-2</v>
      </c>
      <c r="CC63" s="85"/>
      <c r="CD63" s="85">
        <f>CD62</f>
        <v>-0.14833712445901406</v>
      </c>
      <c r="CE63" s="85"/>
      <c r="CF63" s="85">
        <f>CF62</f>
        <v>-0.172340153373223</v>
      </c>
      <c r="CG63" s="85"/>
      <c r="CH63" s="85">
        <f>CH62</f>
        <v>-0.45979141480917934</v>
      </c>
      <c r="CI63" s="85"/>
      <c r="CJ63" s="85">
        <f>CJ62</f>
        <v>-0.12007513780129216</v>
      </c>
      <c r="CK63" s="85"/>
      <c r="CL63" s="85">
        <f>CL62</f>
        <v>0.3620794027240441</v>
      </c>
      <c r="CM63" s="85"/>
      <c r="CN63" s="85">
        <f>CN62</f>
        <v>0.23171424963533152</v>
      </c>
      <c r="CO63" s="85"/>
      <c r="CP63" s="85">
        <f>CP62</f>
        <v>0.13233531810698879</v>
      </c>
      <c r="CQ63" s="85"/>
      <c r="CR63" s="85">
        <f>CR62</f>
        <v>9.0980493693946212E-3</v>
      </c>
      <c r="CS63" s="85"/>
      <c r="CT63" s="85">
        <f>CT62</f>
        <v>1.1485878824067368</v>
      </c>
      <c r="CU63" s="85"/>
      <c r="CV63" s="85">
        <f>CV62</f>
        <v>0.55253072597216535</v>
      </c>
      <c r="CW63" s="85"/>
      <c r="CX63" s="85">
        <f>CX62</f>
        <v>0.12545859939982168</v>
      </c>
      <c r="CY63" s="85"/>
      <c r="CZ63" s="85">
        <f>CZ62</f>
        <v>-0.14566691034524798</v>
      </c>
      <c r="DA63" s="85"/>
      <c r="DB63" s="85">
        <f>DB62</f>
        <v>-0.25854174460909779</v>
      </c>
      <c r="DC63" s="86"/>
      <c r="DD63" s="85"/>
      <c r="DE63" s="85"/>
      <c r="DF63" s="85"/>
      <c r="DG63" s="85"/>
      <c r="DH63" s="85"/>
      <c r="DI63" s="85"/>
      <c r="DJ63" s="85">
        <f>DJ62</f>
        <v>3.8841767619459202</v>
      </c>
      <c r="DK63" s="85"/>
      <c r="DL63" s="85">
        <f>DL62</f>
        <v>2.2180064639077415</v>
      </c>
      <c r="DM63" s="85"/>
      <c r="DN63" s="85">
        <f>DN62</f>
        <v>1.9632516031553386</v>
      </c>
      <c r="DO63" s="85"/>
      <c r="DP63" s="85">
        <f>DP62</f>
        <v>1.4344339298110018</v>
      </c>
      <c r="DQ63" s="85"/>
      <c r="DR63" s="85">
        <f>DR62</f>
        <v>4.0647705144669342</v>
      </c>
      <c r="DS63" s="85"/>
      <c r="DT63" s="85">
        <f>DT62</f>
        <v>1.8552840424583532</v>
      </c>
      <c r="DU63" s="85"/>
      <c r="DV63" s="85">
        <f>DV62</f>
        <v>1.5845994188621586</v>
      </c>
      <c r="DW63" s="85"/>
      <c r="DX63" s="85">
        <f>DX62</f>
        <v>0.47235878902589556</v>
      </c>
      <c r="DY63" s="85"/>
      <c r="DZ63" s="85">
        <f>DZ62</f>
        <v>2.2375288093078605</v>
      </c>
      <c r="EA63" s="85"/>
      <c r="EB63" s="85">
        <f>EB62</f>
        <v>0.26409667978370854</v>
      </c>
      <c r="EC63" s="85"/>
      <c r="ED63" s="85">
        <f>ED62</f>
        <v>4.0714218231656316E-2</v>
      </c>
      <c r="EE63" s="85"/>
      <c r="EF63" s="85">
        <f>EF62</f>
        <v>0.69431839790640781</v>
      </c>
      <c r="EG63" s="85"/>
      <c r="EH63" s="85">
        <f>EH62</f>
        <v>0.20863838696336481</v>
      </c>
      <c r="EI63" s="85"/>
      <c r="EJ63" s="85">
        <f>EJ62</f>
        <v>0.37167795686084293</v>
      </c>
      <c r="EK63" s="85"/>
      <c r="EL63" s="85">
        <f>EL62</f>
        <v>-4.2772958418057609E-2</v>
      </c>
      <c r="EM63" s="85"/>
      <c r="EN63" s="85">
        <f>EN62</f>
        <v>0.23359327867318505</v>
      </c>
      <c r="EO63" s="85"/>
      <c r="EP63" s="85">
        <f>EP62</f>
        <v>0.42046386114087891</v>
      </c>
      <c r="EQ63" s="85"/>
      <c r="ER63" s="85">
        <f>ER62</f>
        <v>0.33477761247418597</v>
      </c>
      <c r="ES63" s="85"/>
      <c r="ET63" s="85">
        <f>ET62</f>
        <v>0.13601836977823645</v>
      </c>
      <c r="EU63" s="85"/>
      <c r="EV63" s="85">
        <f>EV62</f>
        <v>0.27316602492823272</v>
      </c>
      <c r="EW63" s="85"/>
      <c r="EX63" s="85">
        <f>EX62</f>
        <v>0.28898451010164683</v>
      </c>
      <c r="EY63" s="85"/>
      <c r="EZ63" s="85">
        <f>EZ62</f>
        <v>-1.5285123578852079E-3</v>
      </c>
      <c r="FA63" s="85"/>
      <c r="FB63" s="85">
        <f>FB62</f>
        <v>1.0013082019480694E-2</v>
      </c>
      <c r="FC63" s="85"/>
      <c r="FD63" s="85">
        <f>FD62</f>
        <v>0.10945034123650407</v>
      </c>
      <c r="FE63" s="85"/>
      <c r="FF63" s="85">
        <f>FF62</f>
        <v>0.95325243134751658</v>
      </c>
      <c r="FG63" s="85"/>
      <c r="FH63" s="85">
        <f>FH62</f>
        <v>-0.11272314835885079</v>
      </c>
      <c r="FI63" s="85"/>
      <c r="FJ63" s="85">
        <f>FJ62</f>
        <v>0.18984549417517049</v>
      </c>
      <c r="FK63" s="85"/>
      <c r="FL63" s="85">
        <f>FL62</f>
        <v>0.86928622017045776</v>
      </c>
      <c r="FM63" s="85"/>
      <c r="FN63" s="85">
        <f>FN62</f>
        <v>0.36504031041636781</v>
      </c>
      <c r="FO63" s="85"/>
      <c r="FP63" s="85">
        <f>FP62</f>
        <v>5.6998058198850045E-2</v>
      </c>
      <c r="FQ63" s="85"/>
      <c r="FR63" s="85">
        <f>FR62</f>
        <v>2.6885073528609763E-2</v>
      </c>
      <c r="FS63" s="85"/>
      <c r="FT63" s="85">
        <f>FT62</f>
        <v>3.0039164608718968E-2</v>
      </c>
      <c r="FU63" s="85"/>
      <c r="FV63" s="85">
        <f>FV62</f>
        <v>0.14750184163001842</v>
      </c>
      <c r="FW63" s="85"/>
      <c r="FX63" s="85">
        <f>FX62</f>
        <v>4.6302608390610359E-2</v>
      </c>
      <c r="FY63" s="85"/>
      <c r="FZ63" s="85">
        <f>FZ62</f>
        <v>-3.526909136911846E-2</v>
      </c>
      <c r="GA63" s="85"/>
      <c r="GB63" s="85">
        <f>GB62</f>
        <v>-3.1668082403255859E-2</v>
      </c>
      <c r="GC63" s="85"/>
      <c r="GD63" s="85">
        <f>GD62</f>
        <v>2.4003028914208038E-2</v>
      </c>
      <c r="GE63" s="85"/>
      <c r="GF63" s="85">
        <f>GF62</f>
        <v>0.2874512614359559</v>
      </c>
      <c r="GG63" s="85"/>
      <c r="GH63" s="85">
        <f>GH62</f>
        <v>-0.33971627700788709</v>
      </c>
      <c r="GI63" s="85"/>
      <c r="GJ63" s="85">
        <f>GJ62</f>
        <v>-0.12007513780129216</v>
      </c>
      <c r="GK63" s="85"/>
      <c r="GL63" s="85">
        <f>GL62</f>
        <v>0.13030436304194984</v>
      </c>
      <c r="GM63" s="85"/>
      <c r="GN63" s="85">
        <f>GN62</f>
        <v>9.9329003620881678E-2</v>
      </c>
      <c r="GO63" s="85"/>
      <c r="GP63" s="85">
        <f>GP62</f>
        <v>0.12296986011959697</v>
      </c>
      <c r="GQ63" s="85"/>
      <c r="GR63" s="85">
        <f>GR62</f>
        <v>9.0980493693946212E-3</v>
      </c>
      <c r="GS63" s="85"/>
      <c r="GT63" s="85">
        <f>GT62</f>
        <v>0.59479134440500769</v>
      </c>
      <c r="GU63" s="85"/>
      <c r="GV63" s="85">
        <f>GV62</f>
        <v>0.4260724788892612</v>
      </c>
    </row>
    <row r="65" spans="1:207">
      <c r="B65" s="19" t="s">
        <v>178</v>
      </c>
    </row>
    <row r="66" spans="1:207">
      <c r="B66" s="26" t="s">
        <v>86</v>
      </c>
      <c r="D66" s="29"/>
      <c r="J66" s="29">
        <v>-13564866.625459811</v>
      </c>
      <c r="L66" s="29">
        <v>-48863052.899257936</v>
      </c>
      <c r="N66" s="5">
        <v>-35852791.946612939</v>
      </c>
      <c r="P66" s="5">
        <v>-23770796.982440826</v>
      </c>
      <c r="R66" s="29">
        <v>-11040335.827979188</v>
      </c>
      <c r="T66" s="5">
        <v>-37670878.123590901</v>
      </c>
      <c r="V66" s="5">
        <v>-27784033.902486168</v>
      </c>
      <c r="X66" s="5">
        <v>-18657299.536899157</v>
      </c>
      <c r="Z66" s="29">
        <v>-8189668.2765466198</v>
      </c>
      <c r="AB66" s="5">
        <v>-27667371.723401506</v>
      </c>
      <c r="AD66" s="5">
        <v>-20880533.111177955</v>
      </c>
      <c r="AF66" s="5">
        <v>-13684571.027009016</v>
      </c>
      <c r="AH66" s="29">
        <v>-6607075.0768852308</v>
      </c>
      <c r="AJ66" s="5">
        <v>-23187484.949999996</v>
      </c>
      <c r="AL66" s="5">
        <v>-17196983.077560931</v>
      </c>
      <c r="AN66" s="5">
        <v>-11623129.855854921</v>
      </c>
      <c r="AP66" s="5">
        <v>-6201221.2914134515</v>
      </c>
      <c r="AR66" s="5">
        <v>-20350555.373845588</v>
      </c>
      <c r="AT66" s="5">
        <v>-15056236.422323108</v>
      </c>
      <c r="AV66" s="5">
        <v>-10197082.200085063</v>
      </c>
      <c r="AX66" s="5">
        <v>-5170108.1857400117</v>
      </c>
      <c r="AZ66" s="5">
        <v>-18546462.329999965</v>
      </c>
      <c r="BB66" s="5">
        <v>-14566647.115</v>
      </c>
      <c r="BD66" s="5">
        <v>-10490933.429999998</v>
      </c>
      <c r="BF66" s="5">
        <v>-5198596.8949999996</v>
      </c>
      <c r="BH66" s="5">
        <v>-29956668.657833338</v>
      </c>
      <c r="BJ66" s="5">
        <v>-25223623.445291664</v>
      </c>
      <c r="BL66" s="5">
        <v>-20966245.607166663</v>
      </c>
      <c r="BN66" s="5">
        <v>-16806971.039791666</v>
      </c>
      <c r="BP66" s="5">
        <v>-12522899.623916663</v>
      </c>
      <c r="BR66" s="5">
        <v>-8796867.2699999977</v>
      </c>
      <c r="BT66" s="5">
        <v>-4353929.07</v>
      </c>
      <c r="BV66" s="5">
        <v>-13817925.379999997</v>
      </c>
      <c r="BX66" s="5">
        <v>-9968420.8699999992</v>
      </c>
      <c r="BZ66" s="5">
        <v>-6533842.1799999978</v>
      </c>
      <c r="CB66" s="5">
        <v>-3206727.25</v>
      </c>
      <c r="CD66" s="5">
        <v>-17002641.299999997</v>
      </c>
      <c r="CF66" s="5">
        <v>-12449249.539999999</v>
      </c>
      <c r="CH66" s="5">
        <v>-8671923.3500000015</v>
      </c>
      <c r="CJ66" s="5">
        <v>-4272723.93</v>
      </c>
      <c r="CL66" s="5">
        <v>-17175767.199999999</v>
      </c>
      <c r="CN66" s="5">
        <v>-12843131.594848791</v>
      </c>
      <c r="CP66" s="5">
        <v>-9087165.9870662019</v>
      </c>
      <c r="CR66" s="5">
        <v>-3954507.4135331037</v>
      </c>
      <c r="CT66" s="5">
        <v>-19911300.840000007</v>
      </c>
      <c r="CV66" s="5">
        <v>-12837394.92512113</v>
      </c>
      <c r="CX66" s="5">
        <v>-7719230.7767474186</v>
      </c>
      <c r="CZ66" s="5">
        <v>-14070993.437498704</v>
      </c>
      <c r="DB66" s="5">
        <v>-10610647.27</v>
      </c>
      <c r="DD66" s="29"/>
      <c r="DF66" s="29"/>
      <c r="DH66" s="29"/>
      <c r="DJ66" s="29">
        <f t="shared" ref="DJ66:DJ72" si="71">J66</f>
        <v>-13564866.625459811</v>
      </c>
      <c r="DL66" s="29">
        <f t="shared" ref="DL66:DP72" si="72">L66-N66</f>
        <v>-13010260.952644996</v>
      </c>
      <c r="DN66" s="29">
        <f t="shared" si="72"/>
        <v>-12081994.964172114</v>
      </c>
      <c r="DP66" s="29">
        <f t="shared" si="72"/>
        <v>-12730461.154461637</v>
      </c>
      <c r="DR66" s="29">
        <f t="shared" ref="DR66:DR72" si="73">R66</f>
        <v>-11040335.827979188</v>
      </c>
      <c r="DT66" s="29">
        <f t="shared" ref="DT66:DX72" si="74">T66-V66</f>
        <v>-9886844.2211047336</v>
      </c>
      <c r="DV66" s="29">
        <f t="shared" si="74"/>
        <v>-9126734.365587011</v>
      </c>
      <c r="DX66" s="29">
        <f t="shared" si="74"/>
        <v>-10467631.260352537</v>
      </c>
      <c r="DZ66" s="29">
        <f t="shared" ref="DZ66:DZ71" si="75">Z66</f>
        <v>-8189668.2765466198</v>
      </c>
      <c r="EB66" s="29">
        <f t="shared" ref="EB66:EF72" si="76">AB66-AD66</f>
        <v>-6786838.6122235507</v>
      </c>
      <c r="ED66" s="29">
        <f t="shared" si="76"/>
        <v>-7195962.0841689389</v>
      </c>
      <c r="EF66" s="29">
        <f t="shared" si="76"/>
        <v>-7077495.9501237851</v>
      </c>
      <c r="EH66" s="29">
        <f t="shared" ref="EH66:EH71" si="77">AH66</f>
        <v>-6607075.0768852308</v>
      </c>
      <c r="EJ66" s="29">
        <f t="shared" ref="EJ66:EL72" si="78">AJ66-AL66</f>
        <v>-5990501.8724390641</v>
      </c>
      <c r="EL66" s="29">
        <f t="shared" si="78"/>
        <v>-5573853.2217060104</v>
      </c>
      <c r="EN66" s="29">
        <f t="shared" ref="EN66:EN70" si="79">AN66-AP66</f>
        <v>-5421908.5644414695</v>
      </c>
      <c r="EP66" s="29">
        <f t="shared" ref="EN66:EP71" si="80">AP66</f>
        <v>-6201221.2914134515</v>
      </c>
      <c r="ER66" s="29">
        <f t="shared" ref="ER66:ER71" si="81">AR66-AT66</f>
        <v>-5294318.9515224807</v>
      </c>
      <c r="ET66" s="29">
        <f t="shared" ref="ET66:ET71" si="82">AT66-AV66</f>
        <v>-4859154.2222380452</v>
      </c>
      <c r="EV66" s="29">
        <f t="shared" ref="EV66:EV71" si="83">AV66-AX66</f>
        <v>-5026974.0143450508</v>
      </c>
      <c r="EX66" s="29">
        <f t="shared" ref="EX66:EX70" si="84">AX66</f>
        <v>-5170108.1857400117</v>
      </c>
      <c r="EZ66" s="29">
        <f t="shared" ref="EZ66:FD71" si="85">AZ66-BB66</f>
        <v>-3979815.2149999645</v>
      </c>
      <c r="FB66" s="29">
        <f t="shared" si="85"/>
        <v>-4075713.6850000024</v>
      </c>
      <c r="FD66" s="29">
        <f t="shared" si="85"/>
        <v>-5292336.5349999983</v>
      </c>
      <c r="FF66" s="29">
        <f t="shared" ref="FF66:FF71" si="86">BF66</f>
        <v>-5198596.8949999996</v>
      </c>
      <c r="FH66" s="29">
        <v>-4733045.2125416743</v>
      </c>
      <c r="FJ66" s="29">
        <f>BJ66-BL66</f>
        <v>-4257377.8381250016</v>
      </c>
      <c r="FL66" s="29">
        <f>BL66-BN66</f>
        <v>-4159274.5673749968</v>
      </c>
      <c r="FN66" s="29">
        <f>BN66-BP66</f>
        <v>-4284071.4158750027</v>
      </c>
      <c r="FP66" s="29">
        <f>BP66-BR66</f>
        <v>-3726032.3539166655</v>
      </c>
      <c r="FR66" s="29">
        <f>BR66-BT66</f>
        <v>-4442938.1999999974</v>
      </c>
      <c r="FT66" s="29">
        <f>BT66</f>
        <v>-4353929.07</v>
      </c>
      <c r="FV66" s="29">
        <f t="shared" ref="FV66:FZ69" si="87">BV66-BX66</f>
        <v>-3849504.5099999979</v>
      </c>
      <c r="FX66" s="29">
        <f t="shared" si="87"/>
        <v>-3434578.6900000013</v>
      </c>
      <c r="FZ66" s="29">
        <f t="shared" si="87"/>
        <v>-3327114.9299999978</v>
      </c>
      <c r="GB66" s="29">
        <f>CB66</f>
        <v>-3206727.25</v>
      </c>
      <c r="GD66" s="29">
        <f t="shared" ref="GD66:GH69" si="88">CD66-CF66</f>
        <v>-4553391.7599999979</v>
      </c>
      <c r="GF66" s="29">
        <f t="shared" si="88"/>
        <v>-3777326.1899999976</v>
      </c>
      <c r="GH66" s="29">
        <f t="shared" si="88"/>
        <v>-4399199.4200000018</v>
      </c>
      <c r="GJ66" s="29">
        <f>CJ66</f>
        <v>-4272723.93</v>
      </c>
      <c r="GL66" s="29">
        <f t="shared" ref="GL66:GN69" si="89">CL66-CN66</f>
        <v>-4332635.6051512081</v>
      </c>
      <c r="GN66" s="29">
        <f t="shared" si="89"/>
        <v>-3755965.6077825893</v>
      </c>
      <c r="GP66" s="29">
        <f>CP66-CR66</f>
        <v>-5132658.5735330982</v>
      </c>
      <c r="GR66" s="29">
        <f>CR66</f>
        <v>-3954507.4135331037</v>
      </c>
      <c r="GT66" s="29">
        <f>CT66-CV66</f>
        <v>-7073905.9148788769</v>
      </c>
      <c r="GV66" s="29">
        <f>CV66-CX66</f>
        <v>-5118164.1483737119</v>
      </c>
    </row>
    <row r="67" spans="1:207">
      <c r="B67" s="26" t="s">
        <v>64</v>
      </c>
      <c r="D67" s="29"/>
      <c r="J67" s="29">
        <v>-127089691.08983199</v>
      </c>
      <c r="L67" s="29">
        <v>-385373551.76906002</v>
      </c>
      <c r="N67" s="5">
        <v>-305021400.97609437</v>
      </c>
      <c r="P67" s="5">
        <v>-236171780.07896671</v>
      </c>
      <c r="R67" s="29">
        <v>-195552842.4489783</v>
      </c>
      <c r="T67" s="5">
        <v>-277378016.72006869</v>
      </c>
      <c r="V67" s="5">
        <v>-195886277.58711952</v>
      </c>
      <c r="X67" s="5">
        <v>-136315821.57530397</v>
      </c>
      <c r="Z67" s="29">
        <v>-99371674.405359983</v>
      </c>
      <c r="AB67" s="5">
        <v>-90688112.030372664</v>
      </c>
      <c r="AD67" s="5">
        <v>-57696090.018607676</v>
      </c>
      <c r="AF67" s="5">
        <v>-41212214.274010003</v>
      </c>
      <c r="AH67" s="29">
        <v>-20850761.73</v>
      </c>
      <c r="AJ67" s="5">
        <v>-75174681.399999991</v>
      </c>
      <c r="AL67" s="5">
        <v>-39169418.17999997</v>
      </c>
      <c r="AN67" s="5">
        <v>-33327984.34</v>
      </c>
      <c r="AP67" s="5">
        <v>-19350114.460000001</v>
      </c>
      <c r="AR67" s="5">
        <v>-74377233.819999993</v>
      </c>
      <c r="AT67" s="5">
        <v>-59355676.779999994</v>
      </c>
      <c r="AV67" s="5">
        <v>-47706006.989999995</v>
      </c>
      <c r="AX67" s="5">
        <v>-24045363.990000002</v>
      </c>
      <c r="AZ67" s="5">
        <v>-83646319.469999999</v>
      </c>
      <c r="BB67" s="5">
        <v>-60981264.030000001</v>
      </c>
      <c r="BD67" s="5">
        <v>-53373566.950000003</v>
      </c>
      <c r="BF67" s="5">
        <v>-46221382.68</v>
      </c>
      <c r="BH67" s="5">
        <v>-51670209.689999998</v>
      </c>
      <c r="BJ67" s="5">
        <v>-37144985.919999994</v>
      </c>
      <c r="BL67" s="5">
        <v>-33190497.440000001</v>
      </c>
      <c r="BN67" s="5">
        <v>-31593581.27</v>
      </c>
      <c r="BP67" s="5">
        <v>-8709619.870000001</v>
      </c>
      <c r="BR67" s="5">
        <v>-3585118.92</v>
      </c>
      <c r="BT67" s="5">
        <v>-1430849.99</v>
      </c>
      <c r="BV67" s="5">
        <v>-25132082.219999999</v>
      </c>
      <c r="BX67" s="5">
        <v>-17306683.280000001</v>
      </c>
      <c r="BZ67" s="5">
        <v>-9233488.3599999994</v>
      </c>
      <c r="CB67" s="5">
        <v>-2547835.13</v>
      </c>
      <c r="CD67" s="5">
        <v>-56755911.339999996</v>
      </c>
      <c r="CF67" s="5">
        <v>-38589767.109999999</v>
      </c>
      <c r="CH67" s="5">
        <v>-6104442.1900000004</v>
      </c>
      <c r="CJ67" s="5">
        <v>-4190723.87</v>
      </c>
      <c r="CL67" s="5">
        <v>-45436417.890000001</v>
      </c>
      <c r="CN67" s="5">
        <v>-25749603.629999999</v>
      </c>
      <c r="CP67" s="5">
        <v>-12238682.559999999</v>
      </c>
      <c r="CR67" s="5">
        <v>-2415339.48</v>
      </c>
      <c r="CT67" s="5">
        <v>-37415076.259999998</v>
      </c>
      <c r="CV67" s="5">
        <v>-22017178.52</v>
      </c>
      <c r="CX67" s="5">
        <v>-8469519.4299999997</v>
      </c>
      <c r="CZ67" s="5">
        <f>CZ18</f>
        <v>-40478778.740000002</v>
      </c>
      <c r="DB67" s="5">
        <f>DB18</f>
        <v>-28427650.350000001</v>
      </c>
      <c r="DD67" s="29"/>
      <c r="DF67" s="29"/>
      <c r="DH67" s="29"/>
      <c r="DJ67" s="29">
        <f t="shared" si="71"/>
        <v>-127089691.08983199</v>
      </c>
      <c r="DL67" s="29">
        <f t="shared" si="72"/>
        <v>-80352150.792965651</v>
      </c>
      <c r="DN67" s="29">
        <f t="shared" si="72"/>
        <v>-68849620.897127658</v>
      </c>
      <c r="DP67" s="29">
        <f t="shared" si="72"/>
        <v>-40618937.629988402</v>
      </c>
      <c r="DR67" s="29">
        <f t="shared" si="73"/>
        <v>-195552842.4489783</v>
      </c>
      <c r="DT67" s="29">
        <f t="shared" si="74"/>
        <v>-81491739.132949173</v>
      </c>
      <c r="DV67" s="29">
        <f t="shared" si="74"/>
        <v>-59570456.011815548</v>
      </c>
      <c r="DX67" s="29">
        <f t="shared" si="74"/>
        <v>-36944147.169943988</v>
      </c>
      <c r="DZ67" s="29">
        <f t="shared" si="75"/>
        <v>-99371674.405359983</v>
      </c>
      <c r="EB67" s="29">
        <f t="shared" si="76"/>
        <v>-32992022.011764988</v>
      </c>
      <c r="ED67" s="29">
        <f t="shared" si="76"/>
        <v>-16483875.744597673</v>
      </c>
      <c r="EF67" s="29">
        <f t="shared" si="76"/>
        <v>-20361452.544010002</v>
      </c>
      <c r="EH67" s="29">
        <f t="shared" si="77"/>
        <v>-20850761.73</v>
      </c>
      <c r="EJ67" s="29">
        <f t="shared" si="78"/>
        <v>-36005263.220000021</v>
      </c>
      <c r="EL67" s="29">
        <f t="shared" si="78"/>
        <v>-5841433.83999997</v>
      </c>
      <c r="EN67" s="29">
        <f t="shared" si="79"/>
        <v>-13977869.879999999</v>
      </c>
      <c r="EP67" s="29">
        <f t="shared" si="80"/>
        <v>-19350114.460000001</v>
      </c>
      <c r="ER67" s="29">
        <f t="shared" si="81"/>
        <v>-15021557.039999999</v>
      </c>
      <c r="ET67" s="29">
        <f t="shared" si="82"/>
        <v>-11649669.789999999</v>
      </c>
      <c r="EV67" s="29">
        <f t="shared" si="83"/>
        <v>-23660642.999999993</v>
      </c>
      <c r="EX67" s="29">
        <f t="shared" si="84"/>
        <v>-24045363.990000002</v>
      </c>
      <c r="EZ67" s="29">
        <f t="shared" si="85"/>
        <v>-22665055.439999998</v>
      </c>
      <c r="FB67" s="29">
        <f t="shared" si="85"/>
        <v>-7607697.0799999982</v>
      </c>
      <c r="FD67" s="29">
        <f t="shared" si="85"/>
        <v>-7152184.2700000033</v>
      </c>
      <c r="FF67" s="29">
        <f t="shared" si="86"/>
        <v>-46221382.68</v>
      </c>
      <c r="FH67" s="29">
        <v>-14525223.770000003</v>
      </c>
      <c r="FJ67" s="29">
        <f>BJ67-BL67</f>
        <v>-3954488.479999993</v>
      </c>
      <c r="FL67" s="29">
        <f>BL67-BN67</f>
        <v>-1596916.1700000018</v>
      </c>
      <c r="FN67" s="29">
        <f>BN67-BP67</f>
        <v>-22883961.399999999</v>
      </c>
      <c r="FP67" s="29">
        <f>BP67-BR67</f>
        <v>-5124500.9500000011</v>
      </c>
      <c r="FR67" s="29">
        <f>BR67-BT67</f>
        <v>-2154268.9299999997</v>
      </c>
      <c r="FT67" s="29">
        <f>BT67</f>
        <v>-1430849.99</v>
      </c>
      <c r="FV67" s="29">
        <f t="shared" si="87"/>
        <v>-7825398.9399999976</v>
      </c>
      <c r="FX67" s="29">
        <f t="shared" si="87"/>
        <v>-8073194.9200000018</v>
      </c>
      <c r="FZ67" s="29">
        <f t="shared" si="87"/>
        <v>-6685653.2299999995</v>
      </c>
      <c r="GB67" s="29">
        <f>CB67</f>
        <v>-2547835.13</v>
      </c>
      <c r="GD67" s="29">
        <f t="shared" si="88"/>
        <v>-18166144.229999997</v>
      </c>
      <c r="GF67" s="29">
        <f t="shared" si="88"/>
        <v>-32485324.919999998</v>
      </c>
      <c r="GH67" s="29">
        <f t="shared" si="88"/>
        <v>-1913718.3200000003</v>
      </c>
      <c r="GJ67" s="29">
        <f>CJ67</f>
        <v>-4190723.87</v>
      </c>
      <c r="GL67" s="29">
        <f t="shared" si="89"/>
        <v>-19686814.260000002</v>
      </c>
      <c r="GN67" s="29">
        <f t="shared" si="89"/>
        <v>-13510921.07</v>
      </c>
      <c r="GP67" s="29">
        <f>CP67-CR67</f>
        <v>-9823343.0799999982</v>
      </c>
      <c r="GR67" s="29">
        <f>CR67</f>
        <v>-2415339.48</v>
      </c>
      <c r="GT67" s="29">
        <f>CT67-CV67</f>
        <v>-15397897.739999998</v>
      </c>
      <c r="GV67" s="29">
        <f>CV67-CX67</f>
        <v>-13547659.09</v>
      </c>
    </row>
    <row r="68" spans="1:207">
      <c r="B68" s="26" t="s">
        <v>87</v>
      </c>
      <c r="D68" s="29"/>
      <c r="J68" s="29">
        <v>-11904756.906343555</v>
      </c>
      <c r="L68" s="29">
        <v>-43050860.600696526</v>
      </c>
      <c r="N68" s="5">
        <v>-31229085.161607914</v>
      </c>
      <c r="P68" s="5">
        <v>-20312079.097939581</v>
      </c>
      <c r="R68" s="29">
        <v>-10681573.288399469</v>
      </c>
      <c r="T68" s="5">
        <v>-32831863.956651874</v>
      </c>
      <c r="V68" s="5">
        <v>-23231624.520348553</v>
      </c>
      <c r="X68" s="5">
        <v>-14919622.184631309</v>
      </c>
      <c r="Z68" s="29">
        <v>-6938176.891554635</v>
      </c>
      <c r="AB68" s="5">
        <v>-18748313.273811076</v>
      </c>
      <c r="AD68" s="5">
        <v>-12422257.589079572</v>
      </c>
      <c r="AF68" s="5">
        <v>-6905482.5852514878</v>
      </c>
      <c r="AH68" s="29">
        <v>-2428885.83</v>
      </c>
      <c r="AJ68" s="5">
        <v>-7628573.6599999852</v>
      </c>
      <c r="AL68" s="5">
        <v>-5436515.7000000002</v>
      </c>
      <c r="AN68" s="5">
        <v>-3507786.41</v>
      </c>
      <c r="AP68" s="5">
        <v>-1671345.29</v>
      </c>
      <c r="AR68" s="5">
        <v>-7417648.04</v>
      </c>
      <c r="AT68" s="5">
        <v>-5856420.7999999998</v>
      </c>
      <c r="AV68" s="5">
        <v>-4273292.96</v>
      </c>
      <c r="AX68" s="5">
        <v>-2134922.52</v>
      </c>
      <c r="AZ68" s="5">
        <v>-7401985.8699999992</v>
      </c>
      <c r="BB68" s="5">
        <v>-5402685.6600000001</v>
      </c>
      <c r="BD68" s="5">
        <v>-3570555.75</v>
      </c>
      <c r="BF68" s="5">
        <v>-1709114.6600000001</v>
      </c>
      <c r="BH68" s="5">
        <v>-8195372.1600000001</v>
      </c>
      <c r="BJ68" s="5">
        <v>-6784974.46</v>
      </c>
      <c r="BL68" s="5">
        <v>-5333510.2300000004</v>
      </c>
      <c r="BN68" s="5">
        <v>-4128982.3</v>
      </c>
      <c r="BP68" s="5">
        <v>-2885506.25</v>
      </c>
      <c r="BR68" s="5">
        <v>-1952122.66</v>
      </c>
      <c r="BT68" s="5">
        <v>-771646.61</v>
      </c>
      <c r="BV68" s="5">
        <v>-4046719.13</v>
      </c>
      <c r="BX68" s="5">
        <v>-3086996.73</v>
      </c>
      <c r="BZ68" s="5">
        <v>-1985293.9200000002</v>
      </c>
      <c r="CB68" s="5">
        <v>-977546.11</v>
      </c>
      <c r="CD68" s="5">
        <v>-4372845.17</v>
      </c>
      <c r="CF68" s="5">
        <v>-3307903</v>
      </c>
      <c r="CH68" s="5">
        <v>-2435872.7999999998</v>
      </c>
      <c r="CJ68" s="5">
        <v>-851365.52</v>
      </c>
      <c r="CL68" s="5">
        <v>-4224428.59</v>
      </c>
      <c r="CN68" s="5">
        <v>-3074675.6178104542</v>
      </c>
      <c r="CP68" s="5">
        <v>-1978540.8599999999</v>
      </c>
      <c r="CR68" s="5">
        <v>-904904.90999999992</v>
      </c>
      <c r="CT68" s="5">
        <v>-3617949.3115092041</v>
      </c>
      <c r="CV68" s="5">
        <v>-2717561.3099999996</v>
      </c>
      <c r="CX68" s="5">
        <v>-1786608.25</v>
      </c>
      <c r="CZ68" s="5">
        <v>-2332306.5699999998</v>
      </c>
      <c r="DB68" s="5">
        <v>-2258840.04</v>
      </c>
      <c r="DD68" s="29"/>
      <c r="DF68" s="29"/>
      <c r="DH68" s="29"/>
      <c r="DJ68" s="29">
        <f t="shared" si="71"/>
        <v>-11904756.906343555</v>
      </c>
      <c r="DL68" s="29">
        <f t="shared" si="72"/>
        <v>-11821775.439088613</v>
      </c>
      <c r="DN68" s="29">
        <f t="shared" si="72"/>
        <v>-10917006.063668333</v>
      </c>
      <c r="DP68" s="29">
        <f t="shared" si="72"/>
        <v>-9630505.8095401116</v>
      </c>
      <c r="DR68" s="29">
        <f t="shared" si="73"/>
        <v>-10681573.288399469</v>
      </c>
      <c r="DT68" s="29">
        <f t="shared" si="74"/>
        <v>-9600239.4363033213</v>
      </c>
      <c r="DV68" s="29">
        <f t="shared" si="74"/>
        <v>-8312002.3357172441</v>
      </c>
      <c r="DX68" s="29">
        <f t="shared" si="74"/>
        <v>-7981445.2930766735</v>
      </c>
      <c r="DZ68" s="29">
        <f t="shared" si="75"/>
        <v>-6938176.891554635</v>
      </c>
      <c r="EB68" s="29">
        <f t="shared" si="76"/>
        <v>-6326055.6847315039</v>
      </c>
      <c r="ED68" s="29">
        <f t="shared" si="76"/>
        <v>-5516775.0038280841</v>
      </c>
      <c r="EF68" s="29">
        <f t="shared" si="76"/>
        <v>-4476596.7552514877</v>
      </c>
      <c r="EH68" s="29">
        <f t="shared" si="77"/>
        <v>-2428885.83</v>
      </c>
      <c r="EJ68" s="29">
        <f t="shared" si="78"/>
        <v>-2192057.9599999851</v>
      </c>
      <c r="EL68" s="29">
        <f t="shared" si="78"/>
        <v>-1928729.29</v>
      </c>
      <c r="EN68" s="29">
        <f t="shared" si="79"/>
        <v>-1836441.12</v>
      </c>
      <c r="EP68" s="29">
        <f t="shared" si="80"/>
        <v>-1671345.29</v>
      </c>
      <c r="ER68" s="29">
        <f t="shared" si="81"/>
        <v>-1561227.2400000002</v>
      </c>
      <c r="ET68" s="29">
        <f t="shared" si="82"/>
        <v>-1583127.8399999999</v>
      </c>
      <c r="EV68" s="29">
        <f t="shared" si="83"/>
        <v>-2138370.44</v>
      </c>
      <c r="EX68" s="29">
        <f t="shared" si="84"/>
        <v>-2134922.52</v>
      </c>
      <c r="EZ68" s="29">
        <f t="shared" si="85"/>
        <v>-1999300.209999999</v>
      </c>
      <c r="FB68" s="29">
        <f t="shared" si="85"/>
        <v>-1832129.9100000001</v>
      </c>
      <c r="FD68" s="29">
        <f t="shared" si="85"/>
        <v>-1861441.0899999999</v>
      </c>
      <c r="FF68" s="29">
        <f t="shared" si="86"/>
        <v>-1709114.6600000001</v>
      </c>
      <c r="FH68" s="29">
        <v>-1410397.7000000004</v>
      </c>
      <c r="FJ68" s="29">
        <f>BJ68-BL68</f>
        <v>-1451464.2299999995</v>
      </c>
      <c r="FL68" s="29">
        <f>BL68-BN68</f>
        <v>-1204527.9300000006</v>
      </c>
      <c r="FN68" s="29">
        <f>BN68-BP68</f>
        <v>-1243476.0499999998</v>
      </c>
      <c r="FP68" s="29">
        <f>BP68-BR68</f>
        <v>-933383.59000000008</v>
      </c>
      <c r="FR68" s="29">
        <f>BR68-BT68</f>
        <v>-1180476.0499999998</v>
      </c>
      <c r="FT68" s="29">
        <f>BT68</f>
        <v>-771646.61</v>
      </c>
      <c r="FV68" s="29">
        <f t="shared" si="87"/>
        <v>-959722.39999999991</v>
      </c>
      <c r="FX68" s="29">
        <f t="shared" si="87"/>
        <v>-1101702.8099999998</v>
      </c>
      <c r="FZ68" s="29">
        <f t="shared" si="87"/>
        <v>-1007747.8100000002</v>
      </c>
      <c r="GB68" s="29">
        <f>CB68</f>
        <v>-977546.11</v>
      </c>
      <c r="GD68" s="29">
        <f t="shared" si="88"/>
        <v>-1064942.17</v>
      </c>
      <c r="GF68" s="29">
        <f t="shared" si="88"/>
        <v>-872030.20000000019</v>
      </c>
      <c r="GH68" s="29">
        <f t="shared" si="88"/>
        <v>-1584507.2799999998</v>
      </c>
      <c r="GJ68" s="29">
        <f>CJ68</f>
        <v>-851365.52</v>
      </c>
      <c r="GL68" s="29">
        <f t="shared" si="89"/>
        <v>-1149752.9721895456</v>
      </c>
      <c r="GN68" s="29">
        <f t="shared" si="89"/>
        <v>-1096134.7578104543</v>
      </c>
      <c r="GP68" s="29">
        <f>CP68-CR68</f>
        <v>-1073635.95</v>
      </c>
      <c r="GR68" s="29">
        <f>CR68</f>
        <v>-904904.90999999992</v>
      </c>
      <c r="GT68" s="29">
        <f>CT68-CV68</f>
        <v>-900388.00150920451</v>
      </c>
      <c r="GV68" s="29">
        <f>CV68-CX68</f>
        <v>-930953.05999999959</v>
      </c>
    </row>
    <row r="69" spans="1:207">
      <c r="B69" s="26" t="s">
        <v>88</v>
      </c>
      <c r="D69" s="29"/>
      <c r="J69" s="29">
        <v>-4284956.3312439993</v>
      </c>
      <c r="L69" s="29">
        <v>-15556381.010921672</v>
      </c>
      <c r="N69" s="5">
        <v>-10570229.491146557</v>
      </c>
      <c r="P69" s="5">
        <v>-7063679.1845651669</v>
      </c>
      <c r="R69" s="29">
        <v>-4433585.7421833333</v>
      </c>
      <c r="T69" s="5">
        <v>-13655123.915237667</v>
      </c>
      <c r="V69" s="5">
        <v>-8693563.1851624474</v>
      </c>
      <c r="X69" s="5">
        <v>-5397544.4248309992</v>
      </c>
      <c r="Z69" s="29">
        <v>-2660986.9623000002</v>
      </c>
      <c r="AB69" s="5">
        <v>-9519889.5009173341</v>
      </c>
      <c r="AD69" s="5">
        <v>-6932230.1766873309</v>
      </c>
      <c r="AF69" s="5">
        <v>-4279599.2571914997</v>
      </c>
      <c r="AH69" s="29">
        <v>-2034976.4700000002</v>
      </c>
      <c r="AJ69" s="5">
        <v>-6780954.1199999992</v>
      </c>
      <c r="AL69" s="5">
        <v>-5036687.5199999996</v>
      </c>
      <c r="AN69" s="5">
        <v>-3449247.71</v>
      </c>
      <c r="AP69" s="5">
        <v>-1684339.13</v>
      </c>
      <c r="AR69" s="5">
        <v>-6719477.0299999993</v>
      </c>
      <c r="AT69" s="5">
        <v>-5027155.37</v>
      </c>
      <c r="AV69" s="5">
        <v>-3643795.3299999996</v>
      </c>
      <c r="AX69" s="5">
        <v>-1851850.63</v>
      </c>
      <c r="AZ69" s="5">
        <v>-9288809.6100000013</v>
      </c>
      <c r="BB69" s="5">
        <v>-6210540.0899999999</v>
      </c>
      <c r="BD69" s="5">
        <v>-4320106.82</v>
      </c>
      <c r="BF69" s="5">
        <v>-2110905.8800000004</v>
      </c>
      <c r="BH69" s="5">
        <v>-9737818.1300000008</v>
      </c>
      <c r="BJ69" s="5">
        <v>-10460225.449999997</v>
      </c>
      <c r="BL69" s="5">
        <v>-8562030.4699999988</v>
      </c>
      <c r="BN69" s="5">
        <v>-6832395.4199999999</v>
      </c>
      <c r="BP69" s="5">
        <v>-4999554.21</v>
      </c>
      <c r="BR69" s="5">
        <v>-3517226.06</v>
      </c>
      <c r="BT69" s="5">
        <v>-1723038.86</v>
      </c>
      <c r="BV69" s="5">
        <v>-6989060.7599999998</v>
      </c>
      <c r="BX69" s="5">
        <v>-5399244.2299999995</v>
      </c>
      <c r="BZ69" s="5">
        <v>-3472801.3399999994</v>
      </c>
      <c r="CB69" s="5">
        <v>-1508180.2300000002</v>
      </c>
      <c r="CD69" s="5">
        <v>-6385097.5999999996</v>
      </c>
      <c r="CF69" s="5">
        <v>-4846506.5599999996</v>
      </c>
      <c r="CH69" s="5">
        <v>-3200302.7</v>
      </c>
      <c r="CJ69" s="5">
        <v>-1584713.0699999998</v>
      </c>
      <c r="CL69" s="5">
        <v>-6366849.5899999999</v>
      </c>
      <c r="CN69" s="5">
        <v>-4151710.1979400646</v>
      </c>
      <c r="CP69" s="5">
        <v>-2974133.99</v>
      </c>
      <c r="CR69" s="5">
        <v>-1298614.1499999999</v>
      </c>
      <c r="CT69" s="5">
        <v>-6251593.9179722695</v>
      </c>
      <c r="CV69" s="5">
        <v>-3973386.5769409924</v>
      </c>
      <c r="CX69" s="5">
        <v>-2792538.7979606614</v>
      </c>
      <c r="CZ69" s="5">
        <v>-4463400.2083361922</v>
      </c>
      <c r="DB69" s="5">
        <v>-4244843.32</v>
      </c>
      <c r="DD69" s="29"/>
      <c r="DF69" s="29"/>
      <c r="DH69" s="29"/>
      <c r="DJ69" s="29">
        <f t="shared" si="71"/>
        <v>-4284956.3312439993</v>
      </c>
      <c r="DL69" s="29">
        <f t="shared" si="72"/>
        <v>-4986151.519775115</v>
      </c>
      <c r="DN69" s="29">
        <f t="shared" si="72"/>
        <v>-3506550.3065813901</v>
      </c>
      <c r="DP69" s="29">
        <f t="shared" si="72"/>
        <v>-2630093.4423818337</v>
      </c>
      <c r="DR69" s="29">
        <f t="shared" si="73"/>
        <v>-4433585.7421833333</v>
      </c>
      <c r="DT69" s="29">
        <f t="shared" si="74"/>
        <v>-4961560.7300752196</v>
      </c>
      <c r="DV69" s="29">
        <f t="shared" si="74"/>
        <v>-3296018.7603314482</v>
      </c>
      <c r="DX69" s="29">
        <f t="shared" si="74"/>
        <v>-2736557.462530999</v>
      </c>
      <c r="DZ69" s="29">
        <f t="shared" si="75"/>
        <v>-2660986.9623000002</v>
      </c>
      <c r="EB69" s="29">
        <f t="shared" si="76"/>
        <v>-2587659.3242300032</v>
      </c>
      <c r="ED69" s="29">
        <f t="shared" si="76"/>
        <v>-2652630.9194958312</v>
      </c>
      <c r="EF69" s="29">
        <f t="shared" si="76"/>
        <v>-2244622.7871914995</v>
      </c>
      <c r="EH69" s="29">
        <f t="shared" si="77"/>
        <v>-2034976.4700000002</v>
      </c>
      <c r="EJ69" s="29">
        <f t="shared" si="78"/>
        <v>-1744266.5999999996</v>
      </c>
      <c r="EL69" s="29">
        <f t="shared" si="78"/>
        <v>-1587439.8099999996</v>
      </c>
      <c r="EN69" s="29">
        <f t="shared" si="79"/>
        <v>-1764908.58</v>
      </c>
      <c r="EP69" s="29">
        <f t="shared" si="80"/>
        <v>-1684339.13</v>
      </c>
      <c r="ER69" s="29">
        <f t="shared" si="81"/>
        <v>-1692321.6599999992</v>
      </c>
      <c r="ET69" s="29">
        <f t="shared" si="82"/>
        <v>-1383360.0400000005</v>
      </c>
      <c r="EV69" s="29">
        <f t="shared" si="83"/>
        <v>-1791944.6999999997</v>
      </c>
      <c r="EX69" s="29">
        <f t="shared" si="84"/>
        <v>-1851850.63</v>
      </c>
      <c r="EZ69" s="29">
        <f t="shared" si="85"/>
        <v>-3078269.5200000014</v>
      </c>
      <c r="FB69" s="29">
        <f t="shared" si="85"/>
        <v>-1890433.2699999996</v>
      </c>
      <c r="FD69" s="29">
        <f t="shared" si="85"/>
        <v>-2209200.94</v>
      </c>
      <c r="FF69" s="29">
        <f t="shared" si="86"/>
        <v>-2110905.8800000004</v>
      </c>
      <c r="FH69" s="29">
        <v>-1632306.5300000038</v>
      </c>
      <c r="FJ69" s="29">
        <f>BJ69-BL69</f>
        <v>-1898194.9799999986</v>
      </c>
      <c r="FL69" s="29">
        <f>BL69-BN69</f>
        <v>-1729635.0499999989</v>
      </c>
      <c r="FN69" s="29">
        <f>BN69-BP69</f>
        <v>-1832841.21</v>
      </c>
      <c r="FP69" s="29">
        <f>BP69-BR69</f>
        <v>-1482328.15</v>
      </c>
      <c r="FR69" s="29">
        <f>BR69-BT69</f>
        <v>-1794187.2</v>
      </c>
      <c r="FT69" s="29">
        <f>BT69</f>
        <v>-1723038.86</v>
      </c>
      <c r="FV69" s="29">
        <f t="shared" si="87"/>
        <v>-1589816.5300000003</v>
      </c>
      <c r="FX69" s="29">
        <f t="shared" si="87"/>
        <v>-1926442.8900000001</v>
      </c>
      <c r="FZ69" s="29">
        <f t="shared" si="87"/>
        <v>-1964621.1099999992</v>
      </c>
      <c r="GB69" s="29">
        <f>CB69</f>
        <v>-1508180.2300000002</v>
      </c>
      <c r="GD69" s="29">
        <f t="shared" si="88"/>
        <v>-1538591.04</v>
      </c>
      <c r="GF69" s="29">
        <f t="shared" si="88"/>
        <v>-1646203.8599999994</v>
      </c>
      <c r="GH69" s="29">
        <f t="shared" si="88"/>
        <v>-1615589.6300000004</v>
      </c>
      <c r="GJ69" s="29">
        <f>CJ69</f>
        <v>-1584713.0699999998</v>
      </c>
      <c r="GL69" s="29">
        <f t="shared" si="89"/>
        <v>-2215139.3920599353</v>
      </c>
      <c r="GN69" s="29">
        <f t="shared" si="89"/>
        <v>-1177576.2079400644</v>
      </c>
      <c r="GP69" s="29">
        <f>CP69-CR69</f>
        <v>-1675519.8400000003</v>
      </c>
      <c r="GR69" s="29">
        <f>CR69</f>
        <v>-1298614.1499999999</v>
      </c>
      <c r="GT69" s="29">
        <f>CT69-CV69</f>
        <v>-2278207.3410312771</v>
      </c>
      <c r="GV69" s="29">
        <f>CV69-CX69</f>
        <v>-1180847.778980331</v>
      </c>
    </row>
    <row r="70" spans="1:207">
      <c r="B70" s="26" t="s">
        <v>264</v>
      </c>
      <c r="D70" s="29"/>
      <c r="J70" s="29">
        <v>-4913144.5500000082</v>
      </c>
      <c r="L70" s="29">
        <v>-23285829.660000008</v>
      </c>
      <c r="N70" s="5">
        <v>-17379400.860000007</v>
      </c>
      <c r="P70" s="5">
        <v>-9309733.2800000068</v>
      </c>
      <c r="R70" s="29">
        <v>-4108606.5500000077</v>
      </c>
      <c r="T70" s="5">
        <v>-15981883.680000007</v>
      </c>
      <c r="V70" s="5">
        <v>-10668005.910000008</v>
      </c>
      <c r="X70" s="5">
        <v>-6226171.3600000078</v>
      </c>
      <c r="Z70" s="29">
        <v>-2250155.8400000078</v>
      </c>
      <c r="AB70" s="5">
        <v>-10222664.060000006</v>
      </c>
      <c r="AD70" s="5">
        <v>-5904127.1600000076</v>
      </c>
      <c r="AF70" s="5">
        <v>-3769713.0800000071</v>
      </c>
      <c r="AH70" s="29">
        <v>-1811447.7400000077</v>
      </c>
      <c r="AJ70" s="5">
        <v>-6142343.7600000082</v>
      </c>
      <c r="AL70" s="5">
        <v>-4858259.8800000073</v>
      </c>
      <c r="AN70" s="5">
        <v>-2519720.4000000074</v>
      </c>
      <c r="AP70" s="5">
        <v>-1160435.3800000001</v>
      </c>
      <c r="AR70" s="5">
        <v>-5220064.8</v>
      </c>
      <c r="AT70" s="5">
        <v>-4128172.1000000006</v>
      </c>
      <c r="AV70" s="5">
        <v>-2714179.3600000003</v>
      </c>
      <c r="AX70" s="5">
        <v>-1390543.11</v>
      </c>
      <c r="AZ70" s="5">
        <v>-7057095.6499999994</v>
      </c>
      <c r="BB70" s="5">
        <v>-5675231.1600000001</v>
      </c>
      <c r="BD70" s="5">
        <v>-4477085.25</v>
      </c>
      <c r="BF70" s="5">
        <v>-1516838.23</v>
      </c>
      <c r="BH70" s="5">
        <v>-13188148.560000001</v>
      </c>
      <c r="DD70" s="29"/>
      <c r="DF70" s="29"/>
      <c r="DH70" s="29"/>
      <c r="DJ70" s="29">
        <f t="shared" si="71"/>
        <v>-4913144.5500000082</v>
      </c>
      <c r="DL70" s="29">
        <f t="shared" si="72"/>
        <v>-5906428.8000000007</v>
      </c>
      <c r="DN70" s="29">
        <f t="shared" si="72"/>
        <v>-8069667.5800000001</v>
      </c>
      <c r="DP70" s="29">
        <f t="shared" si="72"/>
        <v>-5201126.7299999986</v>
      </c>
      <c r="DR70" s="29">
        <f t="shared" si="73"/>
        <v>-4108606.5500000077</v>
      </c>
      <c r="DT70" s="29">
        <f t="shared" si="74"/>
        <v>-5313877.7699999996</v>
      </c>
      <c r="DV70" s="29">
        <f t="shared" si="74"/>
        <v>-4441834.55</v>
      </c>
      <c r="DX70" s="29">
        <f t="shared" si="74"/>
        <v>-3976015.52</v>
      </c>
      <c r="DZ70" s="29">
        <f t="shared" si="75"/>
        <v>-2250155.8400000078</v>
      </c>
      <c r="EB70" s="29">
        <f t="shared" si="76"/>
        <v>-4318536.8999999985</v>
      </c>
      <c r="ED70" s="29">
        <f t="shared" si="76"/>
        <v>-2134414.0800000005</v>
      </c>
      <c r="EF70" s="29">
        <f t="shared" si="76"/>
        <v>-1958265.3399999994</v>
      </c>
      <c r="EH70" s="29">
        <f t="shared" si="77"/>
        <v>-1811447.7400000077</v>
      </c>
      <c r="EJ70" s="29">
        <f t="shared" si="78"/>
        <v>-1284083.8800000008</v>
      </c>
      <c r="EL70" s="29">
        <f t="shared" si="78"/>
        <v>-2338539.48</v>
      </c>
      <c r="EN70" s="29">
        <f t="shared" si="79"/>
        <v>-1359285.0200000072</v>
      </c>
      <c r="EP70" s="29">
        <f t="shared" si="80"/>
        <v>-1160435.3800000001</v>
      </c>
      <c r="ER70" s="29">
        <f t="shared" si="81"/>
        <v>-1091892.6999999993</v>
      </c>
      <c r="ET70" s="29">
        <f t="shared" si="82"/>
        <v>-1413992.7400000002</v>
      </c>
      <c r="EV70" s="29">
        <f t="shared" si="83"/>
        <v>-1323636.2500000002</v>
      </c>
      <c r="EX70" s="29">
        <f t="shared" si="84"/>
        <v>-1390543.11</v>
      </c>
      <c r="EZ70" s="29">
        <f t="shared" si="85"/>
        <v>-1381864.4899999993</v>
      </c>
      <c r="FB70" s="29">
        <f t="shared" si="85"/>
        <v>-1198145.9100000001</v>
      </c>
      <c r="FD70" s="29">
        <f>BD70-BF70</f>
        <v>-2960247.02</v>
      </c>
      <c r="FF70" s="29">
        <f t="shared" si="86"/>
        <v>-1516838.23</v>
      </c>
      <c r="FH70" s="29">
        <v>-1494929.6700000002</v>
      </c>
      <c r="FJ70" s="29"/>
      <c r="FL70" s="29"/>
      <c r="FN70" s="29"/>
      <c r="FP70" s="29"/>
      <c r="FR70" s="29"/>
      <c r="FT70" s="29"/>
      <c r="FV70" s="29"/>
      <c r="FX70" s="29"/>
      <c r="FZ70" s="29"/>
      <c r="GB70" s="29"/>
      <c r="GD70" s="29"/>
      <c r="GF70" s="29"/>
      <c r="GH70" s="29"/>
      <c r="GJ70" s="29"/>
      <c r="GL70" s="29"/>
      <c r="GN70" s="29"/>
      <c r="GP70" s="29"/>
      <c r="GR70" s="29"/>
      <c r="GT70" s="29"/>
      <c r="GV70" s="29"/>
    </row>
    <row r="71" spans="1:207">
      <c r="B71" s="147" t="s">
        <v>252</v>
      </c>
      <c r="D71" s="29"/>
      <c r="H71" s="29"/>
      <c r="J71" s="29">
        <v>0</v>
      </c>
      <c r="L71" s="29">
        <v>0</v>
      </c>
      <c r="N71" s="5">
        <v>0</v>
      </c>
      <c r="P71" s="29">
        <v>0</v>
      </c>
      <c r="R71" s="29">
        <v>0</v>
      </c>
      <c r="T71" s="5">
        <v>0</v>
      </c>
      <c r="V71" s="5">
        <v>0</v>
      </c>
      <c r="X71" s="5">
        <v>0</v>
      </c>
      <c r="Z71" s="29">
        <v>0</v>
      </c>
      <c r="AB71" s="5">
        <f>AB16</f>
        <v>5874205.7084021242</v>
      </c>
      <c r="AD71" s="5">
        <f>AD16</f>
        <v>5874205.7084021242</v>
      </c>
      <c r="AF71" s="5">
        <f>AF16</f>
        <v>5874205.7084021242</v>
      </c>
      <c r="AH71" s="29">
        <v>0</v>
      </c>
      <c r="AJ71" s="5">
        <v>0</v>
      </c>
      <c r="AL71" s="5">
        <v>0</v>
      </c>
      <c r="AP71" s="5">
        <v>0</v>
      </c>
      <c r="AR71" s="5">
        <v>0</v>
      </c>
      <c r="AT71" s="5">
        <v>0</v>
      </c>
      <c r="AV71" s="5">
        <v>0</v>
      </c>
      <c r="AX71" s="5">
        <v>0</v>
      </c>
      <c r="AZ71" s="5">
        <v>0</v>
      </c>
      <c r="BB71" s="5">
        <f>BB16</f>
        <v>0</v>
      </c>
      <c r="BD71" s="5">
        <v>0</v>
      </c>
      <c r="BF71" s="5">
        <v>0</v>
      </c>
      <c r="BH71" s="5">
        <f>BH16</f>
        <v>9404177.1611000001</v>
      </c>
      <c r="BJ71" s="5">
        <f>BJ16</f>
        <v>10176701.9811</v>
      </c>
      <c r="BL71" s="5">
        <f>BL16</f>
        <v>7318045.3499999996</v>
      </c>
      <c r="DD71" s="29"/>
      <c r="DF71" s="29"/>
      <c r="DH71" s="29"/>
      <c r="DJ71" s="29">
        <f t="shared" si="71"/>
        <v>0</v>
      </c>
      <c r="DL71" s="29">
        <f t="shared" si="72"/>
        <v>0</v>
      </c>
      <c r="DN71" s="29">
        <f t="shared" si="72"/>
        <v>0</v>
      </c>
      <c r="DP71" s="29">
        <f t="shared" si="72"/>
        <v>0</v>
      </c>
      <c r="DR71" s="29">
        <f t="shared" si="73"/>
        <v>0</v>
      </c>
      <c r="DT71" s="29">
        <f t="shared" si="74"/>
        <v>0</v>
      </c>
      <c r="DV71" s="29">
        <f t="shared" si="74"/>
        <v>0</v>
      </c>
      <c r="DX71" s="29">
        <f t="shared" si="74"/>
        <v>0</v>
      </c>
      <c r="DZ71" s="29">
        <f t="shared" si="75"/>
        <v>0</v>
      </c>
      <c r="EB71" s="29">
        <f t="shared" si="76"/>
        <v>0</v>
      </c>
      <c r="ED71" s="29">
        <f t="shared" si="76"/>
        <v>0</v>
      </c>
      <c r="EF71" s="29">
        <f t="shared" si="76"/>
        <v>5874205.7084021242</v>
      </c>
      <c r="EH71" s="29">
        <f t="shared" si="77"/>
        <v>0</v>
      </c>
      <c r="EJ71" s="29">
        <f t="shared" si="78"/>
        <v>0</v>
      </c>
      <c r="EL71" s="29">
        <f t="shared" si="78"/>
        <v>0</v>
      </c>
      <c r="EN71" s="29">
        <f t="shared" si="80"/>
        <v>0</v>
      </c>
      <c r="EP71" s="29">
        <f t="shared" si="80"/>
        <v>0</v>
      </c>
      <c r="ER71" s="29">
        <f t="shared" si="81"/>
        <v>0</v>
      </c>
      <c r="ET71" s="29">
        <f t="shared" si="82"/>
        <v>0</v>
      </c>
      <c r="EV71" s="29">
        <f t="shared" si="83"/>
        <v>0</v>
      </c>
      <c r="EX71" s="29">
        <f t="shared" ref="EX71" si="90">AX71</f>
        <v>0</v>
      </c>
      <c r="EZ71" s="29">
        <f t="shared" si="85"/>
        <v>0</v>
      </c>
      <c r="FB71" s="29">
        <f t="shared" si="85"/>
        <v>0</v>
      </c>
      <c r="FD71" s="29">
        <f t="shared" si="85"/>
        <v>0</v>
      </c>
      <c r="FF71" s="29">
        <f t="shared" si="86"/>
        <v>0</v>
      </c>
      <c r="FH71" s="29">
        <v>-772524.82000000053</v>
      </c>
      <c r="FJ71" s="29">
        <f>BJ71-BL71</f>
        <v>2858656.6311000008</v>
      </c>
      <c r="FL71" s="29">
        <f>BL71-BN71</f>
        <v>7318045.3499999996</v>
      </c>
      <c r="FN71" s="29"/>
      <c r="FP71" s="29"/>
      <c r="FR71" s="29"/>
      <c r="FT71" s="29"/>
      <c r="FV71" s="29"/>
      <c r="FX71" s="29"/>
      <c r="FZ71" s="29"/>
      <c r="GB71" s="29"/>
      <c r="GD71" s="29"/>
      <c r="GF71" s="29"/>
      <c r="GH71" s="29"/>
      <c r="GJ71" s="29"/>
      <c r="GL71" s="29"/>
      <c r="GN71" s="29"/>
      <c r="GP71" s="29"/>
      <c r="GR71" s="29"/>
      <c r="GT71" s="29"/>
      <c r="GV71" s="29"/>
    </row>
    <row r="72" spans="1:207">
      <c r="B72" s="26" t="s">
        <v>63</v>
      </c>
      <c r="J72" s="5">
        <f>J17</f>
        <v>85532.108309000003</v>
      </c>
      <c r="L72" s="5">
        <f>L17</f>
        <v>-1049382.6582377502</v>
      </c>
      <c r="N72" s="5">
        <f>N17</f>
        <v>-274669.88320688903</v>
      </c>
      <c r="P72" s="5">
        <f>P17</f>
        <v>-393927.32</v>
      </c>
      <c r="R72" s="5">
        <f>R17</f>
        <v>-112020.44598566667</v>
      </c>
      <c r="T72" s="5">
        <f>T17</f>
        <v>-1491482.6535427454</v>
      </c>
      <c r="V72" s="5">
        <f>V17</f>
        <v>-73100.439834190067</v>
      </c>
      <c r="X72" s="5">
        <f>X17</f>
        <v>-150619.45797457854</v>
      </c>
      <c r="Z72" s="5">
        <f>Z17</f>
        <v>224444.62515000004</v>
      </c>
      <c r="AB72" s="5">
        <f>AB17</f>
        <v>1729102.0864269133</v>
      </c>
      <c r="AD72" s="5">
        <f>AD17</f>
        <v>1180317.6087937376</v>
      </c>
      <c r="AF72" s="5">
        <f>AF17</f>
        <v>773765.03715500014</v>
      </c>
      <c r="AH72" s="5">
        <f>AH17</f>
        <v>417059.4495000001</v>
      </c>
      <c r="AJ72" s="5">
        <f>AJ17</f>
        <v>1473765.548</v>
      </c>
      <c r="AL72" s="5">
        <f>AL17</f>
        <v>1502928.0085</v>
      </c>
      <c r="AN72" s="5">
        <f>AN17</f>
        <v>472707.82899999997</v>
      </c>
      <c r="AP72" s="5">
        <f>AP17</f>
        <v>315349.24950000003</v>
      </c>
      <c r="AR72" s="5">
        <f>AR17</f>
        <v>730204.07800000021</v>
      </c>
      <c r="AT72" s="5">
        <f>AT17</f>
        <v>737681.45849999995</v>
      </c>
      <c r="AV72" s="5">
        <f>AV17</f>
        <v>634481.5290000001</v>
      </c>
      <c r="AX72" s="5">
        <f>AX17</f>
        <v>288100.61949999997</v>
      </c>
      <c r="AZ72" s="5">
        <f>AZ17</f>
        <v>3869134.3880000007</v>
      </c>
      <c r="BB72" s="5">
        <f>BB17</f>
        <v>3823657.1685000001</v>
      </c>
      <c r="BD72" s="5">
        <v>3508821.8343929206</v>
      </c>
      <c r="BF72" s="5">
        <v>1245842.4448929199</v>
      </c>
      <c r="BH72" s="5">
        <f>BH17</f>
        <v>9652069.9786666669</v>
      </c>
      <c r="BJ72" s="5">
        <f>BJ17</f>
        <v>2500605.729166666</v>
      </c>
      <c r="BL72" s="5">
        <f>BL17</f>
        <v>2281450.2496666661</v>
      </c>
      <c r="BN72" s="5">
        <f>BN17</f>
        <v>1861773.0800000005</v>
      </c>
      <c r="BP72" s="5">
        <f>BP17</f>
        <v>1604486</v>
      </c>
      <c r="BR72" s="5">
        <f>BR17</f>
        <v>1198848.6000000001</v>
      </c>
      <c r="BT72" s="5">
        <f>BT17</f>
        <v>760074.93</v>
      </c>
      <c r="BV72" s="5">
        <v>2680727.04</v>
      </c>
      <c r="BX72" s="5">
        <f>BX17</f>
        <v>1530678.75</v>
      </c>
      <c r="BZ72" s="5">
        <f>BZ17</f>
        <v>1097531.46</v>
      </c>
      <c r="CB72" s="5">
        <f>CB17</f>
        <v>385154.11000000004</v>
      </c>
      <c r="CD72" s="5">
        <v>348854.39</v>
      </c>
      <c r="CF72" s="5">
        <f>CF17</f>
        <v>-47057.85</v>
      </c>
      <c r="CH72" s="5">
        <v>-78196.31</v>
      </c>
      <c r="CJ72" s="5">
        <f>CJ17</f>
        <v>8752.9199999999983</v>
      </c>
      <c r="CL72" s="5">
        <f>CL17</f>
        <v>-90307.73</v>
      </c>
      <c r="CN72" s="5">
        <f>CN17</f>
        <v>359178.98</v>
      </c>
      <c r="CP72" s="5">
        <f>CP17</f>
        <v>201112.97000000003</v>
      </c>
      <c r="CR72" s="5">
        <f>CR17</f>
        <v>10386.419999999996</v>
      </c>
      <c r="CT72" s="5">
        <f>CT17</f>
        <v>167647.59</v>
      </c>
      <c r="CV72" s="5">
        <f>CV17</f>
        <v>84828.31</v>
      </c>
      <c r="CX72" s="5">
        <f>CX17</f>
        <v>52314.90999999996</v>
      </c>
      <c r="CZ72" s="5">
        <f>CZ17</f>
        <v>-207262.74</v>
      </c>
      <c r="DB72" s="5">
        <f>DB17</f>
        <v>-49799.670000000013</v>
      </c>
      <c r="DD72" s="29"/>
      <c r="DF72" s="29"/>
      <c r="DH72" s="29"/>
      <c r="DJ72" s="29">
        <f t="shared" si="71"/>
        <v>85532.108309000003</v>
      </c>
      <c r="DL72" s="29">
        <f t="shared" si="72"/>
        <v>-774712.77503086114</v>
      </c>
      <c r="DN72" s="29">
        <f t="shared" si="72"/>
        <v>119257.43679311097</v>
      </c>
      <c r="DP72" s="29">
        <f t="shared" si="72"/>
        <v>-281906.87401433336</v>
      </c>
      <c r="DR72" s="29">
        <f t="shared" si="73"/>
        <v>-112020.44598566667</v>
      </c>
      <c r="DT72" s="29">
        <f t="shared" si="74"/>
        <v>-1418382.2137085553</v>
      </c>
      <c r="DV72" s="29">
        <f t="shared" si="74"/>
        <v>77519.018140388478</v>
      </c>
      <c r="DX72" s="29">
        <f t="shared" si="74"/>
        <v>-375064.08312457858</v>
      </c>
      <c r="DZ72" s="29">
        <f>DZ17</f>
        <v>224444.62515000004</v>
      </c>
      <c r="EB72" s="29">
        <f t="shared" si="76"/>
        <v>548784.47763317567</v>
      </c>
      <c r="ED72" s="29">
        <f t="shared" si="76"/>
        <v>406552.57163873746</v>
      </c>
      <c r="EF72" s="29">
        <f t="shared" si="76"/>
        <v>356705.58765500004</v>
      </c>
      <c r="EH72" s="29">
        <f>EH17</f>
        <v>417059.4495000001</v>
      </c>
      <c r="EJ72" s="29">
        <f t="shared" si="78"/>
        <v>-29162.460500000045</v>
      </c>
      <c r="EL72" s="29">
        <f t="shared" si="78"/>
        <v>1030220.1795000001</v>
      </c>
      <c r="EN72" s="5">
        <f>EN17</f>
        <v>157358.57949999993</v>
      </c>
      <c r="EP72" s="5">
        <f>EP17</f>
        <v>315349.24950000003</v>
      </c>
      <c r="ER72" s="5">
        <f>ER17</f>
        <v>-7477.3804999997374</v>
      </c>
      <c r="ET72" s="5">
        <f>ET17</f>
        <v>103199.92949999985</v>
      </c>
      <c r="EV72" s="5">
        <f>EV17</f>
        <v>346380.90950000013</v>
      </c>
      <c r="EX72" s="5">
        <f>EX17</f>
        <v>288100.61949999997</v>
      </c>
      <c r="EZ72" s="5">
        <f>EZ17</f>
        <v>45477.219500000589</v>
      </c>
      <c r="FB72" s="5">
        <f>FB17</f>
        <v>314835.33410707954</v>
      </c>
      <c r="FD72" s="5">
        <f>FD17</f>
        <v>2262979.3895000005</v>
      </c>
      <c r="FF72" s="5">
        <f>FF17</f>
        <v>1245842.4448929199</v>
      </c>
      <c r="FH72" s="5">
        <v>113869.12950000021</v>
      </c>
      <c r="FJ72" s="5">
        <f>FJ17</f>
        <v>219155.4794999999</v>
      </c>
      <c r="FL72" s="5">
        <f>FL17</f>
        <v>419677.16966666561</v>
      </c>
      <c r="FN72" s="5">
        <f>FN17</f>
        <v>257287.08000000054</v>
      </c>
      <c r="FP72" s="5">
        <f>FP17</f>
        <v>405637.39999999991</v>
      </c>
      <c r="FR72" s="5">
        <f>FR17</f>
        <v>438773.67000000004</v>
      </c>
      <c r="FT72" s="5">
        <f>FT17</f>
        <v>760074.93</v>
      </c>
      <c r="FV72" s="5">
        <f>FV17</f>
        <v>1150048.29</v>
      </c>
      <c r="FX72" s="5">
        <f>FX17</f>
        <v>433147.29000000004</v>
      </c>
      <c r="FZ72" s="5">
        <f>FZ17</f>
        <v>712377.34999999986</v>
      </c>
      <c r="GB72" s="5">
        <f>GB17</f>
        <v>385154.11000000004</v>
      </c>
      <c r="GD72" s="5">
        <f>GD17</f>
        <v>395912.24</v>
      </c>
      <c r="GF72" s="5">
        <f>GF17</f>
        <v>31138.46</v>
      </c>
      <c r="GH72" s="5">
        <f>GH17</f>
        <v>-86949.23</v>
      </c>
      <c r="GJ72" s="5">
        <f>GJ17</f>
        <v>8752.9199999999983</v>
      </c>
      <c r="GL72" s="5">
        <f>GL17</f>
        <v>-449486.70999999996</v>
      </c>
      <c r="GN72" s="5">
        <f>GN17</f>
        <v>158066.00999999995</v>
      </c>
      <c r="GP72" s="5">
        <f>GP17</f>
        <v>190726.55000000005</v>
      </c>
      <c r="GR72" s="5">
        <f>GR17</f>
        <v>10386.419999999996</v>
      </c>
      <c r="GT72" s="5">
        <f>GT17</f>
        <v>82819.28</v>
      </c>
      <c r="GV72" s="5">
        <f>GV17</f>
        <v>32513.400000000038</v>
      </c>
    </row>
    <row r="73" spans="1:207" s="36" customFormat="1">
      <c r="B73" s="25" t="s">
        <v>65</v>
      </c>
      <c r="J73" s="36">
        <f>J7+SUM(J66:J72)</f>
        <v>41456402.351433337</v>
      </c>
      <c r="L73" s="36">
        <f>L7+SUM(L66:L72)</f>
        <v>106942734.80109614</v>
      </c>
      <c r="N73" s="36">
        <f>N7+SUM(N66:N72)</f>
        <v>82649946.509653568</v>
      </c>
      <c r="P73" s="36">
        <f>P7+SUM(P66:P72)</f>
        <v>61976770.356087685</v>
      </c>
      <c r="R73" s="36">
        <f>R7+SUM(R66:R72)</f>
        <v>45367158.07743302</v>
      </c>
      <c r="T73" s="36">
        <f>T7+SUM(T66:T72)</f>
        <v>67862318.934050143</v>
      </c>
      <c r="V73" s="36">
        <f>V7+SUM(V66:V72)</f>
        <v>44846730.726139396</v>
      </c>
      <c r="X73" s="36">
        <f>X7+SUM(X66:X72)</f>
        <v>27810550.131915808</v>
      </c>
      <c r="Z73" s="36">
        <f>Z7+SUM(Z66:Z72)</f>
        <v>24628002.933422074</v>
      </c>
      <c r="AB73" s="36">
        <f>AB7+SUM(AB66:AB72)</f>
        <v>17617898.282898575</v>
      </c>
      <c r="AD73" s="36">
        <f>AD7+SUM(AD66:AD72)</f>
        <v>11701668.307253003</v>
      </c>
      <c r="AF73" s="36">
        <f>AF7+SUM(AF66:AF72)</f>
        <v>9514257.280372113</v>
      </c>
      <c r="AH73" s="36">
        <f>AH7+SUM(AH66:AH72)</f>
        <v>2105218.8026147634</v>
      </c>
      <c r="AJ73" s="36">
        <f>AJ7+SUM(AJ66:AJ72)</f>
        <v>11187178.067999989</v>
      </c>
      <c r="AL73" s="36">
        <f>AL7+SUM(AL66:AL72)</f>
        <v>6568769.1009390801</v>
      </c>
      <c r="AN73" s="36">
        <f>AN7+SUM(AN66:AN72)</f>
        <v>7085916.4931450859</v>
      </c>
      <c r="AP73" s="36">
        <f>AP7+SUM(AP66:AP72)</f>
        <v>4315499.0980865471</v>
      </c>
      <c r="AR73" s="36">
        <f>AR7+SUM(AR66:AR72)</f>
        <v>12031425.964154407</v>
      </c>
      <c r="AT73" s="36">
        <f>AT7+SUM(AT66:AT72)</f>
        <v>8171284.3761768937</v>
      </c>
      <c r="AV73" s="36">
        <f>AV7+SUM(AV66:AV72)</f>
        <v>6670864.268914938</v>
      </c>
      <c r="AX73" s="36">
        <f>AX7+SUM(AX66:AX72)</f>
        <v>3285807.0437599793</v>
      </c>
      <c r="AZ73" s="36">
        <f>AZ7+SUM(AZ66:AZ72)</f>
        <v>12715084.678000018</v>
      </c>
      <c r="BB73" s="36">
        <f>BB7+SUM(BB66:BB72)</f>
        <v>12245603.433500007</v>
      </c>
      <c r="BD73" s="36">
        <f>BD7+SUM(BD66:BD72)</f>
        <v>12036994.104392931</v>
      </c>
      <c r="BF73" s="36">
        <f>BF7+SUM(BF66:BF72)</f>
        <v>10441854.789892927</v>
      </c>
      <c r="BH73" s="36">
        <f>BH7+SUM(BH66:BH72)</f>
        <v>11631168.59193331</v>
      </c>
      <c r="BJ73" s="36">
        <f>BJ7+SUM(BJ66:BJ72)</f>
        <v>14539561.474975012</v>
      </c>
      <c r="BL73" s="36">
        <f>BL7+SUM(BL66:BL72)</f>
        <v>12885769.232500002</v>
      </c>
      <c r="BN73" s="36">
        <f>BN7+SUM(BN66:BN72)</f>
        <v>5436328.9602083266</v>
      </c>
      <c r="BP73" s="36">
        <f>BP7+SUM(BP66:BP72)</f>
        <v>1392350.326083336</v>
      </c>
      <c r="BR73" s="36">
        <f>BR7+SUM(BR66:BR72)</f>
        <v>737874.03000000305</v>
      </c>
      <c r="BT73" s="36">
        <f>BT7+SUM(BT66:BT72)</f>
        <v>240980.01999999769</v>
      </c>
      <c r="BV73" s="36">
        <f>BV7+SUM(BV66:BV72)</f>
        <v>2128075.9200000018</v>
      </c>
      <c r="BX73" s="36">
        <f>BX7+SUM(BX66:BX72)</f>
        <v>1004643.5399999991</v>
      </c>
      <c r="BZ73" s="36">
        <f>BZ7+SUM(BZ66:BZ72)</f>
        <v>385081.12000000477</v>
      </c>
      <c r="CB73" s="36">
        <f>CB7+SUM(CB66:CB72)</f>
        <v>35875.129999999888</v>
      </c>
      <c r="CD73" s="36">
        <f>CD7+SUM(CD66:CD72)</f>
        <v>-569223.77999997139</v>
      </c>
      <c r="CF73" s="36">
        <f>CF7+SUM(CF66:CF72)</f>
        <v>-1254405.7300000042</v>
      </c>
      <c r="CH73" s="36">
        <f>CH7+SUM(CH66:CH72)</f>
        <v>-3440985.370000001</v>
      </c>
      <c r="CJ73" s="36">
        <f>CJ7+SUM(CJ66:CJ72)</f>
        <v>-814054.45999999903</v>
      </c>
      <c r="CL73" s="36">
        <f>CL7+SUM(CL66:CL72)</f>
        <v>4757444.5699999779</v>
      </c>
      <c r="CN73" s="36">
        <f>CN7+SUM(CN66:CN72)</f>
        <v>2652167.7694006786</v>
      </c>
      <c r="CP73" s="36">
        <f>CP7+SUM(CP66:CP72)</f>
        <v>1381278.302933801</v>
      </c>
      <c r="CR73" s="36">
        <f>CR7+SUM(CR66:CR72)</f>
        <v>272400.03646689653</v>
      </c>
      <c r="CT73" s="36">
        <f>CT7+SUM(CT66:CT72)</f>
        <v>10347554.888227701</v>
      </c>
      <c r="CV73" s="36">
        <f>CV7+SUM(CV66:CV72)</f>
        <v>4910359.6379378736</v>
      </c>
      <c r="CX73" s="36">
        <f>CX7+SUM(CX66:CX72)</f>
        <v>1523622.1352919154</v>
      </c>
      <c r="CZ73" s="36">
        <f>CZ7+SUM(CZ66:CZ72)</f>
        <v>-101228.86583489925</v>
      </c>
      <c r="DB73" s="36">
        <f>DB7+SUM(DB66:DB72)</f>
        <v>-514598.32000000775</v>
      </c>
      <c r="DC73" s="182"/>
      <c r="DJ73" s="36">
        <f>DJ7+SUM(DJ66:DJ72)</f>
        <v>41456402.351433337</v>
      </c>
      <c r="DL73" s="36">
        <f>DL7+SUM(DL66:DL72)</f>
        <v>24292788.291442543</v>
      </c>
      <c r="DN73" s="36">
        <f>DN7+SUM(DN66:DN72)</f>
        <v>20673176.153565928</v>
      </c>
      <c r="DP73" s="36">
        <f>DP7+SUM(DP66:DP72)</f>
        <v>16609612.278654709</v>
      </c>
      <c r="DR73" s="36">
        <f>DR7+SUM(DR66:DR72)</f>
        <v>45367158.07743302</v>
      </c>
      <c r="DT73" s="36">
        <f>DT7+SUM(DT66:DT72)</f>
        <v>23015588.207910746</v>
      </c>
      <c r="DV73" s="36">
        <f>DV7+SUM(DV66:DV72)</f>
        <v>17036180.594223529</v>
      </c>
      <c r="DX73" s="36">
        <f>DX7+SUM(DX66:DX72)</f>
        <v>3182547.1984937415</v>
      </c>
      <c r="DZ73" s="36">
        <f>DZ7+SUM(DZ66:DZ72)</f>
        <v>24628002.933422074</v>
      </c>
      <c r="EB73" s="36">
        <f>EB7+SUM(EB66:EB72)</f>
        <v>5916229.9756455719</v>
      </c>
      <c r="ED73" s="36">
        <f>ED7+SUM(ED66:ED72)</f>
        <v>2187411.0268808976</v>
      </c>
      <c r="EF73" s="36">
        <f>EF7+SUM(EF66:EF72)</f>
        <v>7409038.4777573459</v>
      </c>
      <c r="EH73" s="36">
        <f>EH7+SUM(EH66:EH72)</f>
        <v>2105218.8026147634</v>
      </c>
      <c r="EJ73" s="36">
        <f>EJ7+SUM(EJ66:EJ72)</f>
        <v>4618408.9670609012</v>
      </c>
      <c r="EL73" s="36">
        <f>EL7+SUM(EL66:EL72)</f>
        <v>-517147.39220598154</v>
      </c>
      <c r="EN73" s="36">
        <f>EN7+SUM(EN66:EN72)</f>
        <v>2770417.3950585276</v>
      </c>
      <c r="EP73" s="36">
        <f>EP7+SUM(EP66:EP72)</f>
        <v>4315499.0980865471</v>
      </c>
      <c r="ER73" s="36">
        <f>ER7+SUM(ER66:ER72)</f>
        <v>3860141.5879775211</v>
      </c>
      <c r="ET73" s="36">
        <f>ET7+SUM(ET66:ET72)</f>
        <v>1500420.1072619483</v>
      </c>
      <c r="EV73" s="36">
        <f>EV7+SUM(EV66:EV72)</f>
        <v>3385057.2251549661</v>
      </c>
      <c r="EX73" s="36">
        <f>EX7+SUM(EX66:EX72)</f>
        <v>3285807.0437599793</v>
      </c>
      <c r="EZ73" s="36">
        <f>EZ7+SUM(EZ66:EZ72)</f>
        <v>469481.24450003356</v>
      </c>
      <c r="FB73" s="36">
        <f>FB7+SUM(FB66:FB72)</f>
        <v>208609.32910707407</v>
      </c>
      <c r="FD73" s="36">
        <f>FD7+SUM(FD66:FD72)</f>
        <v>1595139.3145000003</v>
      </c>
      <c r="FF73" s="36">
        <f>FF7+SUM(FF66:FF72)</f>
        <v>10441854.789892927</v>
      </c>
      <c r="FH73" s="36">
        <f>FH7+SUM(FH66:FH72)</f>
        <v>-607482.96304170415</v>
      </c>
      <c r="FJ73" s="36">
        <f>FJ7+SUM(FJ66:FJ72)</f>
        <v>1653792.2424750254</v>
      </c>
      <c r="FL73" s="36">
        <f>FL7+SUM(FL66:FL72)</f>
        <v>7449440.2722916575</v>
      </c>
      <c r="FN73" s="36">
        <f>FN7+SUM(FN66:FN72)</f>
        <v>4043978.6341249943</v>
      </c>
      <c r="FP73" s="36">
        <f>FP7+SUM(FP66:FP72)</f>
        <v>654476.29608333483</v>
      </c>
      <c r="FR73" s="36">
        <f>FR7+SUM(FR66:FR72)</f>
        <v>496894.01000000164</v>
      </c>
      <c r="FT73" s="36">
        <f>FT7+SUM(FT66:FT72)</f>
        <v>240980.01999999769</v>
      </c>
      <c r="FV73" s="36">
        <f>FV7+SUM(FV66:FV72)</f>
        <v>1123432.3800000008</v>
      </c>
      <c r="FX73" s="36">
        <f>FX7+SUM(FX66:FX72)</f>
        <v>619562.41999999434</v>
      </c>
      <c r="FZ73" s="36">
        <f>FZ7+SUM(FZ66:FZ72)</f>
        <v>349205.99000000581</v>
      </c>
      <c r="GB73" s="36">
        <f>GB7+SUM(GB66:GB72)</f>
        <v>35875.129999999888</v>
      </c>
      <c r="GD73" s="36">
        <f>GD7+SUM(GD66:GD72)</f>
        <v>685181.95000000671</v>
      </c>
      <c r="GF73" s="36">
        <f>GF7+SUM(GF66:GF72)</f>
        <v>2186579.6399999931</v>
      </c>
      <c r="GH73" s="36">
        <f>GH7+SUM(GH66:GH72)</f>
        <v>-2626930.9100000029</v>
      </c>
      <c r="GJ73" s="36">
        <f>GJ7+SUM(GJ66:GJ72)</f>
        <v>-814054.45999999903</v>
      </c>
      <c r="GL73" s="36">
        <f>GL7+SUM(GL66:GL72)</f>
        <v>2105276.8005993031</v>
      </c>
      <c r="GN73" s="36">
        <f>GN7+SUM(GN66:GN72)</f>
        <v>1270889.4664668925</v>
      </c>
      <c r="GP73" s="36">
        <f>GP7+SUM(GP66:GP72)</f>
        <v>1108878.2664669044</v>
      </c>
      <c r="GR73" s="36">
        <f>GR7+SUM(GR66:GR72)</f>
        <v>272400.03646689653</v>
      </c>
      <c r="GT73" s="36">
        <f>GT7+SUM(GT66:GT72)</f>
        <v>5437195.2502898239</v>
      </c>
      <c r="GV73" s="36">
        <f>GV7+SUM(GV66:GV72)</f>
        <v>3386737.5026459582</v>
      </c>
    </row>
    <row r="75" spans="1:207" customFormat="1" ht="12.5">
      <c r="A75" s="5"/>
      <c r="B75" s="5"/>
      <c r="C75" s="5"/>
      <c r="D75" s="184"/>
      <c r="E75" s="5"/>
      <c r="F75" s="184"/>
      <c r="G75" s="5"/>
      <c r="H75" s="184"/>
      <c r="I75" s="5"/>
      <c r="J75" s="184">
        <f>J73-J22</f>
        <v>0</v>
      </c>
      <c r="K75" s="5"/>
      <c r="L75" s="184">
        <f>L73-L22</f>
        <v>0</v>
      </c>
      <c r="M75" s="5"/>
      <c r="N75" s="184">
        <f>N73-N22</f>
        <v>0</v>
      </c>
      <c r="O75" s="5"/>
      <c r="P75" s="184">
        <f>P73-P22</f>
        <v>-3.9123296737670898E-3</v>
      </c>
      <c r="Q75" s="5"/>
      <c r="R75" s="184">
        <f>R73-R22</f>
        <v>0</v>
      </c>
      <c r="S75" s="5"/>
      <c r="T75" s="184">
        <f>T73-T22</f>
        <v>0</v>
      </c>
      <c r="U75" s="5"/>
      <c r="V75" s="184">
        <f>V73-V22</f>
        <v>0</v>
      </c>
      <c r="W75" s="5"/>
      <c r="X75" s="184">
        <f>X73-X22</f>
        <v>0</v>
      </c>
      <c r="Y75" s="5"/>
      <c r="Z75" s="184">
        <f>Z73-Z22</f>
        <v>0</v>
      </c>
      <c r="AA75" s="5"/>
      <c r="AB75" s="184">
        <f>AB73-AB22</f>
        <v>0</v>
      </c>
      <c r="AC75" s="5"/>
      <c r="AD75" s="184">
        <f>AD73-AD22</f>
        <v>0</v>
      </c>
      <c r="AE75" s="5"/>
      <c r="AF75" s="184">
        <f>AF73-AF22</f>
        <v>0</v>
      </c>
      <c r="AG75" s="5"/>
      <c r="AH75" s="184">
        <f>AH73-AH22</f>
        <v>-7.4505805969238281E-9</v>
      </c>
      <c r="AI75" s="5"/>
      <c r="AJ75" s="184">
        <f>AJ73-AJ22</f>
        <v>0</v>
      </c>
      <c r="AK75" s="5"/>
      <c r="AL75" s="184">
        <f>AL73-AL22</f>
        <v>0</v>
      </c>
      <c r="AM75" s="5"/>
      <c r="AN75" s="184">
        <f>AN73-AN22</f>
        <v>0</v>
      </c>
      <c r="AO75" s="5"/>
      <c r="AP75" s="184">
        <f>AP73-AP22</f>
        <v>0</v>
      </c>
      <c r="AQ75" s="5"/>
      <c r="AR75" s="184">
        <f>AR73-AR22</f>
        <v>0</v>
      </c>
      <c r="AS75" s="5"/>
      <c r="AT75" s="184">
        <f>AT73-AT22</f>
        <v>0</v>
      </c>
      <c r="AU75" s="5"/>
      <c r="AV75" s="184">
        <f>AV73-AV22</f>
        <v>0</v>
      </c>
      <c r="AW75" s="5"/>
      <c r="AX75" s="185">
        <f>AX73-AX22</f>
        <v>0</v>
      </c>
      <c r="AY75" s="5"/>
      <c r="AZ75" s="184">
        <f>AZ73-AZ22</f>
        <v>0</v>
      </c>
      <c r="BA75" s="5"/>
      <c r="BB75" s="184">
        <f>BB73-BB22</f>
        <v>0</v>
      </c>
      <c r="BC75" s="5"/>
      <c r="BD75" s="184">
        <f>BD73-BD22</f>
        <v>0</v>
      </c>
      <c r="BE75" s="5"/>
      <c r="BF75" s="185">
        <f>BF73-BF22</f>
        <v>0</v>
      </c>
      <c r="BG75" s="5"/>
      <c r="BH75" s="180">
        <f>BH73-BH22</f>
        <v>0</v>
      </c>
      <c r="BI75" s="5"/>
      <c r="BJ75" s="185">
        <f>BJ73-BJ22</f>
        <v>0</v>
      </c>
      <c r="BK75" s="5"/>
      <c r="BL75" s="185">
        <f>BL73-BL22</f>
        <v>0</v>
      </c>
      <c r="BM75" s="5"/>
      <c r="BN75" s="185">
        <f>BN73-BN22</f>
        <v>-7.4505805969238281E-9</v>
      </c>
      <c r="BO75" s="5"/>
      <c r="BP75" s="5">
        <f>BP73-BP22</f>
        <v>0</v>
      </c>
      <c r="BQ75" s="5"/>
      <c r="BR75" s="5">
        <f>BR73-BR22</f>
        <v>3.7252902984619141E-9</v>
      </c>
      <c r="BS75" s="5"/>
      <c r="BT75" s="5">
        <f>BT73-BT22</f>
        <v>-9.3132257461547852E-10</v>
      </c>
      <c r="BU75" s="5"/>
      <c r="BV75" s="5">
        <f>BV73-BV22</f>
        <v>7.4505805969238281E-9</v>
      </c>
      <c r="BW75" s="5"/>
      <c r="BX75" s="5">
        <f>BX73-BX22</f>
        <v>0</v>
      </c>
      <c r="BY75" s="5"/>
      <c r="BZ75" s="5">
        <f>BZ73-BZ22</f>
        <v>3.7252902984619141E-9</v>
      </c>
      <c r="CA75" s="5"/>
      <c r="CB75" s="5">
        <f>CB73-CB22</f>
        <v>-9.3132257461547852E-10</v>
      </c>
      <c r="CC75" s="5"/>
      <c r="CD75" s="5">
        <f>CD73-CD22</f>
        <v>1.4901161193847656E-8</v>
      </c>
      <c r="CE75" s="5"/>
      <c r="CF75" s="5">
        <f>CF73-CF22</f>
        <v>0</v>
      </c>
      <c r="CG75" s="5"/>
      <c r="CH75" s="5">
        <f>CH73-CH22</f>
        <v>0</v>
      </c>
      <c r="CI75" s="5"/>
      <c r="CJ75" s="5">
        <f>CJ73-CJ22</f>
        <v>-1.862645149230957E-9</v>
      </c>
      <c r="CK75" s="5"/>
      <c r="CL75" s="5">
        <f>CL73-CL22</f>
        <v>-1.4901161193847656E-8</v>
      </c>
      <c r="CM75" s="5"/>
      <c r="CN75" s="5">
        <f>CN73-CN22</f>
        <v>-1.4901161193847656E-8</v>
      </c>
      <c r="CO75" s="5"/>
      <c r="CP75" s="140">
        <f>CP73-CP22</f>
        <v>7.4505805969238281E-9</v>
      </c>
      <c r="CQ75" s="5"/>
      <c r="CR75" s="5">
        <f>CR73-CR22</f>
        <v>-1.862645149230957E-9</v>
      </c>
      <c r="CS75" s="5"/>
      <c r="CT75" s="5">
        <f>CT73-CT22</f>
        <v>0</v>
      </c>
      <c r="CU75" s="5"/>
      <c r="CV75" s="5">
        <f>CV73-CV22</f>
        <v>0</v>
      </c>
      <c r="CW75" s="5"/>
      <c r="CX75" s="5">
        <f>CX73-CX22</f>
        <v>-3.7252902984619141E-9</v>
      </c>
      <c r="CZ75" s="5">
        <f>CZ73-CZ22</f>
        <v>-7.4505805969238281E-9</v>
      </c>
      <c r="DA75" s="5"/>
      <c r="DB75" s="5">
        <f>DB73-DB22</f>
        <v>0</v>
      </c>
      <c r="DC75" s="74"/>
      <c r="DD75" s="137"/>
      <c r="DE75" s="5"/>
      <c r="DF75" s="137"/>
      <c r="DG75" s="5"/>
      <c r="DH75" s="137"/>
      <c r="DI75" s="5"/>
      <c r="DJ75" s="137">
        <f>DJ73-DJ22</f>
        <v>0</v>
      </c>
      <c r="DK75" s="5"/>
      <c r="DL75" s="137">
        <f>DL73-DL22</f>
        <v>-4.4703483581542969E-8</v>
      </c>
      <c r="DM75" s="5"/>
      <c r="DN75" s="137">
        <f>DN73-DN22</f>
        <v>3.9122849702835083E-3</v>
      </c>
      <c r="DO75" s="5"/>
      <c r="DP75" s="137">
        <f>DP73-DP22</f>
        <v>-3.9122700691223145E-3</v>
      </c>
      <c r="DQ75" s="5"/>
      <c r="DR75" s="137">
        <f>DR73-DR22</f>
        <v>0</v>
      </c>
      <c r="DS75" s="5"/>
      <c r="DT75" s="137">
        <f>DT73-DT22</f>
        <v>2.9802322387695313E-8</v>
      </c>
      <c r="DU75" s="5"/>
      <c r="DV75" s="137">
        <f>DV73-DV22</f>
        <v>-2.9802322387695313E-8</v>
      </c>
      <c r="DW75" s="5"/>
      <c r="DX75" s="137">
        <f>DX73-DX22</f>
        <v>0</v>
      </c>
      <c r="DY75" s="5"/>
      <c r="DZ75" s="137">
        <f>DZ73-DZ22</f>
        <v>0</v>
      </c>
      <c r="EA75" s="5"/>
      <c r="EB75" s="137">
        <f>EB73-EB22</f>
        <v>2.2351741790771484E-8</v>
      </c>
      <c r="EC75" s="5"/>
      <c r="ED75" s="137">
        <f>ED73-ED22</f>
        <v>-7.4505805969238281E-9</v>
      </c>
      <c r="EE75" s="5"/>
      <c r="EF75" s="137">
        <f>EF73-EF22</f>
        <v>7.4505805969238281E-9</v>
      </c>
      <c r="EG75" s="5"/>
      <c r="EH75" s="137">
        <f>EH73-EH22</f>
        <v>-7.4505805969238281E-9</v>
      </c>
      <c r="EI75" s="5"/>
      <c r="EJ75" s="137">
        <f>EJ73-EJ22</f>
        <v>-7.4505805969238281E-9</v>
      </c>
      <c r="EK75" s="5"/>
      <c r="EL75" s="137">
        <f>EL73-EL22</f>
        <v>2.4214386940002441E-8</v>
      </c>
      <c r="EM75" s="5"/>
      <c r="EN75" s="137">
        <f>EN73-EN22</f>
        <v>-7.4505805969238281E-9</v>
      </c>
      <c r="EO75" s="5"/>
      <c r="EP75" s="137">
        <f>EP73-EP22</f>
        <v>0</v>
      </c>
      <c r="EQ75" s="5"/>
      <c r="ER75" s="137">
        <f>ER73-ER22</f>
        <v>3.7252902984619141E-9</v>
      </c>
      <c r="ES75" s="5"/>
      <c r="ET75" s="5">
        <f>ET73-ET22</f>
        <v>0</v>
      </c>
      <c r="EU75" s="5"/>
      <c r="EV75" s="5">
        <f>EV73-EV22</f>
        <v>0</v>
      </c>
      <c r="EW75" s="5"/>
      <c r="EX75" s="5">
        <f>EX73-EX22</f>
        <v>0</v>
      </c>
      <c r="EY75" s="5"/>
      <c r="EZ75" s="137">
        <f>EZ73-EZ22</f>
        <v>4.0978193283081055E-8</v>
      </c>
      <c r="FA75" s="5"/>
      <c r="FB75" s="5">
        <f>FB73-FB22</f>
        <v>0</v>
      </c>
      <c r="FC75" s="5"/>
      <c r="FD75" s="5">
        <f>FD73-FD22</f>
        <v>-1.4901161193847656E-8</v>
      </c>
      <c r="FE75" s="5"/>
      <c r="FF75" s="5">
        <f>FF73-FF22</f>
        <v>0</v>
      </c>
      <c r="FG75" s="5"/>
      <c r="FH75" s="5">
        <f>FH73-FH22</f>
        <v>-1.1175870895385742E-8</v>
      </c>
      <c r="FI75" s="5"/>
      <c r="FJ75" s="5">
        <f>FJ73-FJ22</f>
        <v>-1.862645149230957E-9</v>
      </c>
      <c r="FK75" s="5"/>
      <c r="FL75" s="5">
        <f>FL73-FL22</f>
        <v>0</v>
      </c>
      <c r="FM75" s="5"/>
      <c r="FN75" s="5">
        <f>FN73-FN22</f>
        <v>0</v>
      </c>
      <c r="FO75" s="5"/>
      <c r="FP75" s="5">
        <f>FP73-FP22</f>
        <v>1.862645149230957E-9</v>
      </c>
      <c r="FQ75" s="5"/>
      <c r="FR75" s="5">
        <f>FR73-FR22</f>
        <v>3.7252902984619141E-9</v>
      </c>
      <c r="FS75" s="5"/>
      <c r="FT75" s="5">
        <f>FT73-FT22</f>
        <v>-9.3132257461547852E-10</v>
      </c>
      <c r="FU75" s="5"/>
      <c r="FV75" s="5">
        <f>FV73-FV22</f>
        <v>3.7252902984619141E-9</v>
      </c>
      <c r="FW75" s="5"/>
      <c r="FX75" s="5">
        <f>FX73-FX22</f>
        <v>-3.7252902984619141E-9</v>
      </c>
      <c r="FY75" s="5"/>
      <c r="FZ75" s="5">
        <f>FZ73-FZ22</f>
        <v>3.7252902984619141E-9</v>
      </c>
      <c r="GA75" s="5"/>
      <c r="GB75" s="5">
        <f>GB73-GB22</f>
        <v>-9.3132257461547852E-10</v>
      </c>
      <c r="GC75" s="5"/>
      <c r="GD75" s="5">
        <f>GD73-GD22</f>
        <v>-3.7252902984619141E-9</v>
      </c>
      <c r="GE75" s="5"/>
      <c r="GF75" s="5">
        <f>GF73-GF22</f>
        <v>0</v>
      </c>
      <c r="GG75" s="5"/>
      <c r="GH75" s="5">
        <f>GH73-GH22</f>
        <v>0</v>
      </c>
      <c r="GI75" s="5"/>
      <c r="GJ75" s="5">
        <f>GJ73-GJ22</f>
        <v>-1.862645149230957E-9</v>
      </c>
      <c r="GK75" s="5"/>
      <c r="GL75" s="5">
        <f>GL73-GL22</f>
        <v>-3.7252902984619141E-9</v>
      </c>
      <c r="GM75" s="5"/>
      <c r="GN75" s="5">
        <f>GN73-GN22</f>
        <v>0</v>
      </c>
      <c r="GO75" s="5"/>
      <c r="GP75" s="5">
        <f>GP73-GP22</f>
        <v>3.7252902984619141E-9</v>
      </c>
      <c r="GQ75" s="5"/>
      <c r="GR75" s="5">
        <f>GR73-GR22</f>
        <v>-1.862645149230957E-9</v>
      </c>
      <c r="GS75" s="5"/>
      <c r="GT75" s="5">
        <f>GT73-GT22</f>
        <v>0</v>
      </c>
      <c r="GU75" s="5"/>
      <c r="GV75" s="5">
        <f>GV73-GV22</f>
        <v>-3.7252902984619141E-9</v>
      </c>
      <c r="GW75" s="5"/>
      <c r="GX75" s="5"/>
      <c r="GY75" s="5"/>
    </row>
    <row r="78" spans="1:207">
      <c r="J78" s="172"/>
      <c r="R78" s="172"/>
      <c r="Z78" s="172"/>
      <c r="AH78" s="172"/>
      <c r="AP78" s="172"/>
      <c r="AX78" s="172"/>
    </row>
    <row r="79" spans="1:207">
      <c r="H79" s="183"/>
      <c r="P79" s="183"/>
      <c r="X79" s="183"/>
      <c r="AF79" s="183"/>
      <c r="AN79" s="183"/>
      <c r="EJ79" s="180"/>
      <c r="ER79" s="180"/>
    </row>
  </sheetData>
  <mergeCells count="1">
    <mergeCell ref="A1:B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M85"/>
  <sheetViews>
    <sheetView workbookViewId="0">
      <selection activeCell="D45" sqref="D45"/>
    </sheetView>
  </sheetViews>
  <sheetFormatPr defaultColWidth="9.1796875" defaultRowHeight="10.5" outlineLevelRow="2" outlineLevelCol="1"/>
  <cols>
    <col min="1" max="1" width="24.26953125" style="45" customWidth="1"/>
    <col min="2" max="2" width="10.7265625" style="44" customWidth="1"/>
    <col min="3" max="3" width="0.81640625" style="44" customWidth="1"/>
    <col min="4" max="4" width="10.26953125" style="43" customWidth="1"/>
    <col min="5" max="5" width="1" style="43" hidden="1" customWidth="1"/>
    <col min="6" max="6" width="10.7265625" style="43" customWidth="1"/>
    <col min="7" max="7" width="1" style="43" customWidth="1"/>
    <col min="8" max="8" width="10.7265625" style="43" hidden="1" customWidth="1" outlineLevel="1"/>
    <col min="9" max="9" width="1" style="43" hidden="1" customWidth="1" outlineLevel="1"/>
    <col min="10" max="10" width="9.81640625" style="43" hidden="1" customWidth="1" outlineLevel="1"/>
    <col min="11" max="11" width="1" style="43" customWidth="1" collapsed="1"/>
    <col min="12" max="12" width="10.7265625" style="43" customWidth="1"/>
    <col min="13" max="13" width="1" style="43" customWidth="1"/>
    <col min="14" max="249" width="9.1796875" style="45" customWidth="1"/>
    <col min="250" max="16384" width="9.1796875" style="45"/>
  </cols>
  <sheetData>
    <row r="1" spans="1:13" outlineLevel="1"/>
    <row r="2" spans="1:13" outlineLevel="1">
      <c r="A2" s="42"/>
      <c r="B2" s="202" t="s">
        <v>152</v>
      </c>
      <c r="C2" s="202"/>
      <c r="D2" s="202"/>
      <c r="E2" s="202"/>
      <c r="F2" s="202"/>
      <c r="G2" s="202"/>
      <c r="H2" s="202"/>
      <c r="I2" s="202"/>
      <c r="J2" s="202"/>
      <c r="K2" s="202"/>
      <c r="L2" s="202"/>
    </row>
    <row r="3" spans="1:13" ht="31.5" outlineLevel="1">
      <c r="B3" s="46" t="s">
        <v>139</v>
      </c>
      <c r="D3" s="46" t="s">
        <v>140</v>
      </c>
      <c r="F3" s="46" t="s">
        <v>141</v>
      </c>
      <c r="H3" s="46" t="s">
        <v>142</v>
      </c>
      <c r="J3" s="47" t="s">
        <v>143</v>
      </c>
      <c r="L3" s="46" t="s">
        <v>144</v>
      </c>
    </row>
    <row r="4" spans="1:13" outlineLevel="1"/>
    <row r="5" spans="1:13" s="48" customFormat="1" outlineLevel="1">
      <c r="A5" s="48" t="s">
        <v>145</v>
      </c>
      <c r="B5" s="49">
        <v>15021.23856</v>
      </c>
      <c r="C5" s="50"/>
      <c r="D5" s="49">
        <v>4403.7865399999991</v>
      </c>
      <c r="E5" s="49"/>
      <c r="F5" s="49">
        <v>1228.396</v>
      </c>
      <c r="G5" s="49">
        <v>0</v>
      </c>
      <c r="H5" s="49">
        <v>1189.5026600000001</v>
      </c>
      <c r="I5" s="49"/>
      <c r="J5" s="49">
        <v>-1189.5026600000001</v>
      </c>
      <c r="K5" s="49"/>
      <c r="L5" s="49">
        <v>20653.4211</v>
      </c>
      <c r="M5" s="49"/>
    </row>
    <row r="6" spans="1:13" outlineLevel="1">
      <c r="A6" s="51" t="s">
        <v>146</v>
      </c>
      <c r="B6" s="43">
        <v>15021.23856</v>
      </c>
      <c r="C6" s="52"/>
      <c r="D6" s="43">
        <v>4403.7865399999991</v>
      </c>
      <c r="F6" s="43">
        <v>1228.396</v>
      </c>
      <c r="L6" s="43">
        <v>20653.4211</v>
      </c>
    </row>
    <row r="7" spans="1:13" outlineLevel="1">
      <c r="A7" s="51" t="s">
        <v>147</v>
      </c>
      <c r="B7" s="43"/>
      <c r="C7" s="52"/>
      <c r="L7" s="43">
        <v>0</v>
      </c>
    </row>
    <row r="8" spans="1:13" outlineLevel="1">
      <c r="A8" s="51" t="s">
        <v>148</v>
      </c>
      <c r="B8" s="43"/>
      <c r="C8" s="52"/>
      <c r="H8" s="43">
        <v>1189.5026600000001</v>
      </c>
      <c r="J8" s="43">
        <v>-1189.5026600000001</v>
      </c>
      <c r="L8" s="43">
        <v>0</v>
      </c>
    </row>
    <row r="9" spans="1:13" outlineLevel="1">
      <c r="B9" s="43"/>
    </row>
    <row r="10" spans="1:13" s="48" customFormat="1" outlineLevel="1">
      <c r="A10" s="48" t="s">
        <v>149</v>
      </c>
      <c r="B10" s="49">
        <v>-14752.048043533101</v>
      </c>
      <c r="C10" s="50"/>
      <c r="D10" s="49">
        <v>-2874.2770343633142</v>
      </c>
      <c r="E10" s="49"/>
      <c r="F10" s="49">
        <v>-1154.4767400000001</v>
      </c>
      <c r="G10" s="49">
        <v>0</v>
      </c>
      <c r="H10" s="49">
        <v>-1791.2324756366847</v>
      </c>
      <c r="I10" s="49"/>
      <c r="J10" s="49">
        <v>1189.5026600000001</v>
      </c>
      <c r="K10" s="49"/>
      <c r="L10" s="49">
        <v>-19382.531633533094</v>
      </c>
      <c r="M10" s="49"/>
    </row>
    <row r="11" spans="1:13" outlineLevel="1">
      <c r="A11" s="60" t="s">
        <v>86</v>
      </c>
      <c r="B11" s="43">
        <v>-232.17699999999999</v>
      </c>
      <c r="C11" s="43"/>
      <c r="D11" s="43">
        <v>-695.31395125911661</v>
      </c>
      <c r="F11" s="43">
        <v>-236.61473999999998</v>
      </c>
      <c r="H11" s="43">
        <v>-767.97961000000203</v>
      </c>
      <c r="J11" s="43">
        <v>697.54016000000013</v>
      </c>
      <c r="L11" s="43">
        <v>-1234.5451412591187</v>
      </c>
    </row>
    <row r="12" spans="1:13" outlineLevel="1">
      <c r="A12" s="60" t="s">
        <v>64</v>
      </c>
      <c r="B12" s="43">
        <v>-12903.367109999999</v>
      </c>
      <c r="C12" s="43"/>
      <c r="D12" s="43">
        <v>-356.86396000000019</v>
      </c>
      <c r="J12" s="43">
        <v>-250.69</v>
      </c>
      <c r="L12" s="43">
        <v>-13510.92107</v>
      </c>
    </row>
    <row r="13" spans="1:13" outlineLevel="1">
      <c r="A13" s="60" t="s">
        <v>87</v>
      </c>
      <c r="B13" s="43">
        <v>-1616.5039335331021</v>
      </c>
      <c r="C13" s="43"/>
      <c r="D13" s="43">
        <v>-1822.0991231041974</v>
      </c>
      <c r="F13" s="43">
        <v>-917.86200000000008</v>
      </c>
      <c r="J13" s="43">
        <v>741</v>
      </c>
      <c r="L13" s="43">
        <v>-3615.4650566372993</v>
      </c>
    </row>
    <row r="14" spans="1:13" outlineLevel="1">
      <c r="A14" s="60" t="s">
        <v>88</v>
      </c>
      <c r="B14" s="43"/>
      <c r="C14" s="43"/>
      <c r="H14" s="43">
        <v>-1181.3188756366828</v>
      </c>
      <c r="J14" s="43">
        <v>1.6524999999999199</v>
      </c>
      <c r="L14" s="43">
        <v>-1179.6663756366829</v>
      </c>
    </row>
    <row r="15" spans="1:13" outlineLevel="1">
      <c r="A15" s="60" t="s">
        <v>63</v>
      </c>
      <c r="B15" s="43"/>
      <c r="C15" s="43"/>
      <c r="H15" s="43">
        <v>158.06600999999995</v>
      </c>
      <c r="L15" s="43">
        <v>158.06600999999995</v>
      </c>
    </row>
    <row r="16" spans="1:13" outlineLevel="1"/>
    <row r="17" spans="1:12" ht="11" outlineLevel="1" thickBot="1">
      <c r="A17" s="48" t="s">
        <v>150</v>
      </c>
      <c r="B17" s="53">
        <v>269.19051646689877</v>
      </c>
      <c r="C17" s="50"/>
      <c r="D17" s="53">
        <v>1529.5095056366849</v>
      </c>
      <c r="E17" s="49"/>
      <c r="F17" s="53">
        <v>73.919259999999895</v>
      </c>
      <c r="G17" s="53">
        <v>0</v>
      </c>
      <c r="H17" s="53">
        <v>-601.72981563668463</v>
      </c>
      <c r="I17" s="49"/>
      <c r="J17" s="53">
        <v>0</v>
      </c>
      <c r="K17" s="49"/>
      <c r="L17" s="53">
        <v>1270.889466466906</v>
      </c>
    </row>
    <row r="18" spans="1:12" outlineLevel="1">
      <c r="A18" s="45" t="s">
        <v>62</v>
      </c>
      <c r="B18" s="43">
        <v>-197.45300000000003</v>
      </c>
      <c r="D18" s="43">
        <v>-23.77411</v>
      </c>
      <c r="F18" s="43">
        <v>-54.22</v>
      </c>
      <c r="G18" s="43">
        <v>-54.22</v>
      </c>
      <c r="H18" s="43">
        <v>-747.49396353310306</v>
      </c>
      <c r="J18" s="43">
        <v>-1.6524999999999199</v>
      </c>
      <c r="L18" s="43">
        <v>-1078.8135735331032</v>
      </c>
    </row>
    <row r="19" spans="1:12" outlineLevel="1"/>
    <row r="20" spans="1:12" ht="11" outlineLevel="1" thickBot="1">
      <c r="A20" s="48" t="s">
        <v>151</v>
      </c>
      <c r="B20" s="53">
        <v>466.6435164668988</v>
      </c>
      <c r="C20" s="54"/>
      <c r="D20" s="53">
        <v>1553.283615636685</v>
      </c>
      <c r="E20" s="49"/>
      <c r="F20" s="53">
        <v>128.13925999999989</v>
      </c>
      <c r="G20" s="53">
        <v>54.22</v>
      </c>
      <c r="H20" s="53">
        <v>145.76414789641842</v>
      </c>
      <c r="I20" s="49"/>
      <c r="J20" s="53">
        <v>1.6524999999999199</v>
      </c>
      <c r="K20" s="49"/>
      <c r="L20" s="53">
        <v>2349.7030400000094</v>
      </c>
    </row>
    <row r="21" spans="1:12" outlineLevel="1"/>
    <row r="22" spans="1:12" outlineLevel="1"/>
    <row r="23" spans="1:12">
      <c r="A23" s="42"/>
      <c r="B23" s="202" t="s">
        <v>153</v>
      </c>
      <c r="C23" s="202"/>
      <c r="D23" s="202"/>
      <c r="E23" s="202"/>
      <c r="F23" s="202"/>
      <c r="G23" s="202"/>
      <c r="H23" s="202"/>
      <c r="I23" s="202"/>
      <c r="J23" s="202"/>
      <c r="K23" s="202"/>
      <c r="L23" s="202"/>
    </row>
    <row r="24" spans="1:12" ht="31.5">
      <c r="B24" s="46" t="s">
        <v>139</v>
      </c>
      <c r="D24" s="46" t="s">
        <v>140</v>
      </c>
      <c r="F24" s="46" t="s">
        <v>141</v>
      </c>
      <c r="H24" s="46" t="s">
        <v>142</v>
      </c>
      <c r="J24" s="47" t="s">
        <v>143</v>
      </c>
      <c r="L24" s="46" t="s">
        <v>144</v>
      </c>
    </row>
    <row r="26" spans="1:12">
      <c r="A26" s="48" t="s">
        <v>145</v>
      </c>
      <c r="B26" s="49">
        <v>31534.715620000003</v>
      </c>
      <c r="C26" s="50"/>
      <c r="D26" s="49">
        <v>13047.889209999999</v>
      </c>
      <c r="E26" s="49"/>
      <c r="F26" s="49">
        <v>3529.5050000000001</v>
      </c>
      <c r="G26" s="49">
        <v>0</v>
      </c>
      <c r="H26" s="49">
        <v>3733.3566500000002</v>
      </c>
      <c r="I26" s="49"/>
      <c r="J26" s="49">
        <v>-3733.3566500000002</v>
      </c>
      <c r="K26" s="49"/>
      <c r="L26" s="49">
        <v>48112.109830000001</v>
      </c>
    </row>
    <row r="27" spans="1:12">
      <c r="A27" s="51" t="s">
        <v>146</v>
      </c>
      <c r="B27" s="43">
        <v>31534.715620000003</v>
      </c>
      <c r="C27" s="52"/>
      <c r="D27" s="43">
        <v>13047.889209999999</v>
      </c>
      <c r="F27" s="43">
        <v>3529.5050000000001</v>
      </c>
      <c r="L27" s="43">
        <v>48112.109830000001</v>
      </c>
    </row>
    <row r="28" spans="1:12">
      <c r="A28" s="51" t="s">
        <v>147</v>
      </c>
      <c r="B28" s="43"/>
      <c r="C28" s="52"/>
      <c r="L28" s="43">
        <v>0</v>
      </c>
    </row>
    <row r="29" spans="1:12">
      <c r="A29" s="51" t="s">
        <v>148</v>
      </c>
      <c r="B29" s="43"/>
      <c r="C29" s="52"/>
      <c r="H29" s="43">
        <v>3733.3566500000002</v>
      </c>
      <c r="J29" s="43">
        <v>-3733.3566500000002</v>
      </c>
      <c r="L29" s="43">
        <v>0</v>
      </c>
    </row>
    <row r="30" spans="1:12">
      <c r="B30" s="43"/>
    </row>
    <row r="31" spans="1:12" outlineLevel="2">
      <c r="A31" s="48" t="s">
        <v>149</v>
      </c>
      <c r="B31" s="49">
        <v>-30898.36001059931</v>
      </c>
      <c r="C31" s="50"/>
      <c r="D31" s="49">
        <v>-9205.0948843633141</v>
      </c>
      <c r="E31" s="49"/>
      <c r="F31" s="49">
        <v>-3165.3180000000002</v>
      </c>
      <c r="G31" s="49">
        <v>0</v>
      </c>
      <c r="H31" s="49">
        <v>-5924.5258156366835</v>
      </c>
      <c r="I31" s="49"/>
      <c r="J31" s="49">
        <v>3733.3566500000002</v>
      </c>
      <c r="K31" s="49"/>
      <c r="L31" s="49">
        <v>-45459.942060599307</v>
      </c>
    </row>
    <row r="32" spans="1:12" outlineLevel="2">
      <c r="A32" s="60" t="s">
        <v>86</v>
      </c>
      <c r="B32" s="43">
        <v>-2575.701</v>
      </c>
      <c r="C32" s="43"/>
      <c r="D32" s="43">
        <v>-2114.4389912591168</v>
      </c>
      <c r="F32" s="43">
        <v>-567.327</v>
      </c>
      <c r="H32" s="43">
        <v>-2120.6809299999995</v>
      </c>
      <c r="J32" s="43">
        <v>1484.0891500000002</v>
      </c>
      <c r="L32" s="43">
        <v>-5894.0587712591168</v>
      </c>
    </row>
    <row r="33" spans="1:12" outlineLevel="2">
      <c r="A33" s="60" t="s">
        <v>64</v>
      </c>
      <c r="B33" s="43">
        <v>-23949.233039999999</v>
      </c>
      <c r="C33" s="43"/>
      <c r="D33" s="43">
        <v>-1549.6805900000002</v>
      </c>
      <c r="J33" s="43">
        <v>-250.69</v>
      </c>
      <c r="L33" s="43">
        <v>-25749.603629999998</v>
      </c>
    </row>
    <row r="34" spans="1:12" outlineLevel="2">
      <c r="A34" s="60" t="s">
        <v>87</v>
      </c>
      <c r="B34" s="43">
        <v>-4373.425970599309</v>
      </c>
      <c r="C34" s="43"/>
      <c r="D34" s="43">
        <v>-5540.9753031041973</v>
      </c>
      <c r="F34" s="43">
        <v>-2597.991</v>
      </c>
      <c r="J34" s="43">
        <v>2495</v>
      </c>
      <c r="L34" s="43">
        <v>-10017.392273703506</v>
      </c>
    </row>
    <row r="35" spans="1:12" outlineLevel="2">
      <c r="A35" s="60" t="s">
        <v>88</v>
      </c>
      <c r="B35" s="43"/>
      <c r="C35" s="43"/>
      <c r="H35" s="43">
        <v>-4163.0238656366837</v>
      </c>
      <c r="J35" s="43">
        <v>4.9574999999999996</v>
      </c>
      <c r="L35" s="43">
        <v>-4158.0663656366833</v>
      </c>
    </row>
    <row r="36" spans="1:12" outlineLevel="2">
      <c r="A36" s="60" t="s">
        <v>63</v>
      </c>
      <c r="B36" s="43"/>
      <c r="C36" s="43"/>
      <c r="H36" s="55">
        <v>359.17897999999997</v>
      </c>
      <c r="L36" s="43">
        <v>359.17897999999997</v>
      </c>
    </row>
    <row r="37" spans="1:12" outlineLevel="2"/>
    <row r="38" spans="1:12" ht="11" thickBot="1">
      <c r="A38" s="48" t="s">
        <v>150</v>
      </c>
      <c r="B38" s="53">
        <v>636.35560940069263</v>
      </c>
      <c r="C38" s="50"/>
      <c r="D38" s="53">
        <v>3842.7943256366852</v>
      </c>
      <c r="E38" s="49"/>
      <c r="F38" s="53">
        <v>364.1869999999999</v>
      </c>
      <c r="G38" s="53">
        <v>0</v>
      </c>
      <c r="H38" s="53">
        <v>-2191.1691656366834</v>
      </c>
      <c r="I38" s="49"/>
      <c r="J38" s="53">
        <v>0</v>
      </c>
      <c r="K38" s="49"/>
      <c r="L38" s="53">
        <v>2652.1677694006939</v>
      </c>
    </row>
    <row r="39" spans="1:12">
      <c r="A39" s="45" t="s">
        <v>62</v>
      </c>
      <c r="B39" s="43">
        <v>-522.45499999999993</v>
      </c>
      <c r="D39" s="43">
        <v>-61.214129999999997</v>
      </c>
      <c r="F39" s="43">
        <v>-158.928</v>
      </c>
      <c r="G39" s="43">
        <v>-158.928</v>
      </c>
      <c r="H39" s="43">
        <v>-1925.9560605993099</v>
      </c>
      <c r="J39" s="43">
        <v>-4.9574999999999996</v>
      </c>
      <c r="L39" s="43">
        <v>-2832.4386905993097</v>
      </c>
    </row>
    <row r="40" spans="1:12">
      <c r="A40" s="56" t="s">
        <v>156</v>
      </c>
      <c r="B40" s="57">
        <f>B38/B26</f>
        <v>2.0179525861875922E-2</v>
      </c>
      <c r="D40" s="57">
        <f>D38/D26</f>
        <v>0.29451463480327061</v>
      </c>
      <c r="E40" s="57"/>
      <c r="F40" s="57">
        <f>F38/F26</f>
        <v>0.10318359090014036</v>
      </c>
      <c r="L40" s="57">
        <f>L38/L26</f>
        <v>5.5124744659336297E-2</v>
      </c>
    </row>
    <row r="41" spans="1:12" ht="11" thickBot="1">
      <c r="A41" s="48" t="s">
        <v>151</v>
      </c>
      <c r="B41" s="53">
        <v>1158.8106094006926</v>
      </c>
      <c r="C41" s="54"/>
      <c r="D41" s="53">
        <v>3904.0084556366851</v>
      </c>
      <c r="E41" s="49"/>
      <c r="F41" s="53">
        <v>523.1149999999999</v>
      </c>
      <c r="G41" s="53">
        <v>158.928</v>
      </c>
      <c r="H41" s="53">
        <v>-265.21310503737345</v>
      </c>
      <c r="I41" s="49"/>
      <c r="J41" s="53">
        <v>4.9574999999999996</v>
      </c>
      <c r="K41" s="49"/>
      <c r="L41" s="53">
        <v>5484.6064600000036</v>
      </c>
    </row>
    <row r="42" spans="1:12">
      <c r="A42" s="56" t="s">
        <v>157</v>
      </c>
      <c r="B42" s="57">
        <f>B41/B26</f>
        <v>3.6747139988976135E-2</v>
      </c>
      <c r="D42" s="57">
        <f>D41/D26</f>
        <v>0.29920613156683029</v>
      </c>
      <c r="E42" s="57" t="e">
        <f>E41/E26</f>
        <v>#DIV/0!</v>
      </c>
      <c r="F42" s="57">
        <f>F41/F26</f>
        <v>0.14821200139962967</v>
      </c>
      <c r="L42" s="57">
        <f>L41/L26</f>
        <v>0.11399638218692526</v>
      </c>
    </row>
    <row r="43" spans="1:12" ht="130.5" customHeight="1" outlineLevel="1"/>
    <row r="44" spans="1:12" ht="12" customHeight="1" outlineLevel="1">
      <c r="A44" s="42"/>
      <c r="B44" s="202" t="s">
        <v>154</v>
      </c>
      <c r="C44" s="202"/>
      <c r="D44" s="202"/>
      <c r="E44" s="202"/>
      <c r="F44" s="202"/>
      <c r="G44" s="202"/>
      <c r="H44" s="202"/>
      <c r="I44" s="202"/>
      <c r="J44" s="202"/>
      <c r="K44" s="202"/>
      <c r="L44" s="202"/>
    </row>
    <row r="45" spans="1:12" ht="31.5" outlineLevel="1">
      <c r="B45" s="46" t="s">
        <v>139</v>
      </c>
      <c r="D45" s="46" t="s">
        <v>140</v>
      </c>
      <c r="F45" s="46" t="s">
        <v>141</v>
      </c>
      <c r="H45" s="46" t="s">
        <v>142</v>
      </c>
      <c r="J45" s="47" t="s">
        <v>143</v>
      </c>
      <c r="L45" s="46" t="s">
        <v>144</v>
      </c>
    </row>
    <row r="46" spans="1:12" outlineLevel="1"/>
    <row r="47" spans="1:12" outlineLevel="1">
      <c r="A47" s="48" t="s">
        <v>145</v>
      </c>
      <c r="B47" s="49">
        <v>17331.623169999999</v>
      </c>
      <c r="C47" s="50"/>
      <c r="D47" s="49">
        <v>4611.4340100000018</v>
      </c>
      <c r="E47" s="49"/>
      <c r="F47" s="49">
        <v>2188.7910000000002</v>
      </c>
      <c r="G47" s="49"/>
      <c r="H47" s="49">
        <v>1222.2491200000002</v>
      </c>
      <c r="I47" s="49">
        <v>0</v>
      </c>
      <c r="J47" s="49">
        <v>-1222.2491200000002</v>
      </c>
      <c r="K47" s="49"/>
      <c r="L47" s="49">
        <v>24131.848180000001</v>
      </c>
    </row>
    <row r="48" spans="1:12" outlineLevel="1">
      <c r="A48" s="51" t="s">
        <v>146</v>
      </c>
      <c r="B48" s="43">
        <v>17331.623169999999</v>
      </c>
      <c r="C48" s="52"/>
      <c r="D48" s="43">
        <v>4611.4340100000018</v>
      </c>
      <c r="F48" s="43">
        <v>2188.7910000000002</v>
      </c>
      <c r="L48" s="43">
        <v>24131.848180000001</v>
      </c>
    </row>
    <row r="49" spans="1:12" outlineLevel="1">
      <c r="A49" s="51" t="s">
        <v>147</v>
      </c>
      <c r="B49" s="43"/>
      <c r="C49" s="52"/>
      <c r="L49" s="43">
        <v>0</v>
      </c>
    </row>
    <row r="50" spans="1:12" outlineLevel="1">
      <c r="A50" s="51" t="s">
        <v>148</v>
      </c>
      <c r="B50" s="43"/>
      <c r="C50" s="52"/>
      <c r="H50" s="43">
        <v>1222.2491200000002</v>
      </c>
      <c r="J50" s="43">
        <v>-1222.2491200000002</v>
      </c>
      <c r="L50" s="43">
        <v>0</v>
      </c>
    </row>
    <row r="51" spans="1:12" outlineLevel="1">
      <c r="B51" s="43"/>
    </row>
    <row r="52" spans="1:12" outlineLevel="1">
      <c r="A52" s="48" t="s">
        <v>149</v>
      </c>
      <c r="B52" s="49">
        <v>-16260.114994840607</v>
      </c>
      <c r="C52" s="50"/>
      <c r="D52" s="49">
        <v>-2665.2762199999993</v>
      </c>
      <c r="E52" s="49"/>
      <c r="F52" s="49">
        <v>-1845.9839999999999</v>
      </c>
      <c r="G52" s="49"/>
      <c r="H52" s="49">
        <v>-1195.9845789803308</v>
      </c>
      <c r="I52" s="49"/>
      <c r="J52" s="49">
        <v>1222.2491200000002</v>
      </c>
      <c r="K52" s="49"/>
      <c r="L52" s="49">
        <v>-20745.110673820935</v>
      </c>
    </row>
    <row r="53" spans="1:12" outlineLevel="1">
      <c r="A53" s="60" t="s">
        <v>86</v>
      </c>
      <c r="B53" s="43">
        <v>-1694.0180000000003</v>
      </c>
      <c r="C53" s="43"/>
      <c r="D53" s="43">
        <v>-765.53992999999991</v>
      </c>
      <c r="F53" s="43">
        <v>-784.95600000000002</v>
      </c>
      <c r="H53" s="43">
        <v>-36.753159999999802</v>
      </c>
      <c r="J53" s="43">
        <v>466.14458999999982</v>
      </c>
      <c r="L53" s="43">
        <v>-2815.1224999999999</v>
      </c>
    </row>
    <row r="54" spans="1:12" outlineLevel="1">
      <c r="A54" s="60" t="s">
        <v>64</v>
      </c>
      <c r="B54" s="43">
        <v>-13187.12587</v>
      </c>
      <c r="C54" s="43"/>
      <c r="D54" s="43">
        <v>-360.53321999999997</v>
      </c>
      <c r="L54" s="43">
        <v>-13547.659089999999</v>
      </c>
    </row>
    <row r="55" spans="1:12" outlineLevel="1">
      <c r="A55" s="60" t="s">
        <v>87</v>
      </c>
      <c r="B55" s="43">
        <v>-1378.9711248406068</v>
      </c>
      <c r="C55" s="43"/>
      <c r="D55" s="43">
        <v>-1539.2030699999993</v>
      </c>
      <c r="F55" s="43">
        <v>-1061.028</v>
      </c>
      <c r="J55" s="43">
        <v>750</v>
      </c>
      <c r="L55" s="43">
        <v>-3229.2021948406064</v>
      </c>
    </row>
    <row r="56" spans="1:12" outlineLevel="1">
      <c r="A56" s="60" t="s">
        <v>88</v>
      </c>
      <c r="B56" s="43"/>
      <c r="C56" s="43"/>
      <c r="H56" s="43">
        <v>-1191.744818980331</v>
      </c>
      <c r="J56" s="43">
        <v>6.1045300000002607</v>
      </c>
      <c r="L56" s="43">
        <v>-1185.6402889803308</v>
      </c>
    </row>
    <row r="57" spans="1:12" outlineLevel="1">
      <c r="A57" s="60" t="s">
        <v>63</v>
      </c>
      <c r="B57" s="43"/>
      <c r="C57" s="43"/>
      <c r="H57" s="43">
        <v>32.51340000000004</v>
      </c>
      <c r="L57" s="43">
        <v>32.51340000000004</v>
      </c>
    </row>
    <row r="58" spans="1:12" outlineLevel="1"/>
    <row r="59" spans="1:12" ht="11" outlineLevel="1" thickBot="1">
      <c r="A59" s="48" t="s">
        <v>150</v>
      </c>
      <c r="B59" s="53">
        <v>1071.5081751593916</v>
      </c>
      <c r="C59" s="50"/>
      <c r="D59" s="53">
        <v>1946.1577900000025</v>
      </c>
      <c r="E59" s="49"/>
      <c r="F59" s="53">
        <v>342.80700000000024</v>
      </c>
      <c r="G59" s="49"/>
      <c r="H59" s="53">
        <v>26.264541019669423</v>
      </c>
      <c r="I59" s="49"/>
      <c r="J59" s="53">
        <v>0</v>
      </c>
      <c r="K59" s="49"/>
      <c r="L59" s="53">
        <v>3386.7375061790663</v>
      </c>
    </row>
    <row r="60" spans="1:12" outlineLevel="1">
      <c r="A60" s="45" t="s">
        <v>62</v>
      </c>
      <c r="B60" s="43">
        <v>-134.72900000000001</v>
      </c>
      <c r="D60" s="43">
        <v>-20.925850000000001</v>
      </c>
      <c r="F60" s="43">
        <v>-63.435000000000002</v>
      </c>
      <c r="H60" s="43">
        <v>-560.36048353310298</v>
      </c>
      <c r="J60" s="43">
        <v>-1.5309999999999999</v>
      </c>
      <c r="L60" s="43">
        <v>-780.981333533103</v>
      </c>
    </row>
    <row r="61" spans="1:12" outlineLevel="1"/>
    <row r="62" spans="1:12" ht="11" outlineLevel="1" thickBot="1">
      <c r="A62" s="48" t="s">
        <v>151</v>
      </c>
      <c r="B62" s="53">
        <v>1206.2371751593917</v>
      </c>
      <c r="C62" s="54"/>
      <c r="D62" s="53">
        <v>1967.0836400000026</v>
      </c>
      <c r="E62" s="49"/>
      <c r="F62" s="53">
        <v>406.24200000000025</v>
      </c>
      <c r="G62" s="49"/>
      <c r="H62" s="53">
        <v>586.6250245527724</v>
      </c>
      <c r="I62" s="49"/>
      <c r="J62" s="53">
        <v>1.5309999999999999</v>
      </c>
      <c r="K62" s="49"/>
      <c r="L62" s="53">
        <v>4167.718839712169</v>
      </c>
    </row>
    <row r="63" spans="1:12" outlineLevel="1"/>
    <row r="64" spans="1:12" outlineLevel="1"/>
    <row r="65" spans="1:12" outlineLevel="1"/>
    <row r="66" spans="1:12">
      <c r="A66" s="42"/>
      <c r="B66" s="202" t="s">
        <v>155</v>
      </c>
      <c r="C66" s="202"/>
      <c r="D66" s="202"/>
      <c r="E66" s="202"/>
      <c r="F66" s="202"/>
      <c r="G66" s="202"/>
      <c r="H66" s="202"/>
      <c r="I66" s="202"/>
      <c r="J66" s="202"/>
      <c r="K66" s="202"/>
      <c r="L66" s="202"/>
    </row>
    <row r="67" spans="1:12" ht="31.5">
      <c r="B67" s="46" t="s">
        <v>139</v>
      </c>
      <c r="D67" s="46" t="s">
        <v>140</v>
      </c>
      <c r="F67" s="46" t="s">
        <v>141</v>
      </c>
      <c r="H67" s="46" t="s">
        <v>142</v>
      </c>
      <c r="J67" s="47" t="s">
        <v>143</v>
      </c>
      <c r="L67" s="46" t="s">
        <v>144</v>
      </c>
    </row>
    <row r="69" spans="1:12">
      <c r="A69" s="48" t="s">
        <v>145</v>
      </c>
      <c r="B69" s="49">
        <v>28797.551360000001</v>
      </c>
      <c r="C69" s="50"/>
      <c r="D69" s="49">
        <v>13061.706300000002</v>
      </c>
      <c r="E69" s="49"/>
      <c r="F69" s="49">
        <v>4511.7950000000001</v>
      </c>
      <c r="G69" s="49"/>
      <c r="H69" s="49">
        <v>3988.16246</v>
      </c>
      <c r="I69" s="49"/>
      <c r="J69" s="49">
        <v>-3988.16246</v>
      </c>
      <c r="K69" s="49"/>
      <c r="L69" s="49">
        <v>46371.052660000001</v>
      </c>
    </row>
    <row r="70" spans="1:12">
      <c r="A70" s="51" t="s">
        <v>146</v>
      </c>
      <c r="B70" s="43">
        <v>28797.551360000001</v>
      </c>
      <c r="C70" s="52"/>
      <c r="D70" s="43">
        <v>13061.706300000002</v>
      </c>
      <c r="F70" s="43">
        <v>4511.7950000000001</v>
      </c>
      <c r="L70" s="43">
        <v>46371.052660000001</v>
      </c>
    </row>
    <row r="71" spans="1:12">
      <c r="A71" s="51" t="s">
        <v>147</v>
      </c>
      <c r="B71" s="43"/>
      <c r="C71" s="52"/>
      <c r="L71" s="43">
        <v>0</v>
      </c>
    </row>
    <row r="72" spans="1:12">
      <c r="A72" s="51" t="s">
        <v>148</v>
      </c>
      <c r="B72" s="43"/>
      <c r="C72" s="52"/>
      <c r="H72" s="43">
        <v>3988.16246</v>
      </c>
      <c r="J72" s="43">
        <v>-3988.16246</v>
      </c>
      <c r="L72" s="43">
        <v>0</v>
      </c>
    </row>
    <row r="73" spans="1:12">
      <c r="B73" s="43"/>
    </row>
    <row r="74" spans="1:12" outlineLevel="1">
      <c r="A74" s="48" t="s">
        <v>149</v>
      </c>
      <c r="B74" s="49">
        <v>-27643.710154521817</v>
      </c>
      <c r="C74" s="50"/>
      <c r="D74" s="49">
        <v>-8445.5188899999994</v>
      </c>
      <c r="E74" s="49"/>
      <c r="F74" s="49">
        <v>-3976.3160000000003</v>
      </c>
      <c r="G74" s="49">
        <v>0</v>
      </c>
      <c r="H74" s="49">
        <v>-5383.310436940993</v>
      </c>
      <c r="I74" s="49"/>
      <c r="J74" s="49">
        <v>3988.16246</v>
      </c>
      <c r="K74" s="49"/>
      <c r="L74" s="49">
        <v>-41460.693021462808</v>
      </c>
    </row>
    <row r="75" spans="1:12" outlineLevel="1">
      <c r="A75" s="60" t="s">
        <v>86</v>
      </c>
      <c r="B75" s="43">
        <v>-2850.3470000000002</v>
      </c>
      <c r="C75" s="43"/>
      <c r="D75" s="43">
        <v>-2512.1942599999998</v>
      </c>
      <c r="F75" s="43">
        <v>-1094.6030000000001</v>
      </c>
      <c r="H75" s="43">
        <v>-1471.1764599999999</v>
      </c>
      <c r="J75" s="43">
        <v>1724.0262599999999</v>
      </c>
      <c r="L75" s="43">
        <v>-6204.2944600000001</v>
      </c>
    </row>
    <row r="76" spans="1:12" outlineLevel="1">
      <c r="A76" s="60" t="s">
        <v>64</v>
      </c>
      <c r="B76" s="43">
        <v>-21001.635879999998</v>
      </c>
      <c r="C76" s="43"/>
      <c r="D76" s="43">
        <v>-1015.54264</v>
      </c>
      <c r="L76" s="43">
        <v>-22017.178519999998</v>
      </c>
    </row>
    <row r="77" spans="1:12" outlineLevel="1">
      <c r="A77" s="60" t="s">
        <v>87</v>
      </c>
      <c r="B77" s="43">
        <v>-3791.7272745218183</v>
      </c>
      <c r="C77" s="43"/>
      <c r="D77" s="43">
        <v>-4917.7819899999995</v>
      </c>
      <c r="F77" s="43">
        <v>-2881.7130000000002</v>
      </c>
      <c r="J77" s="43">
        <v>2250</v>
      </c>
      <c r="L77" s="43">
        <v>-9341.2222645218171</v>
      </c>
    </row>
    <row r="78" spans="1:12" outlineLevel="1">
      <c r="A78" s="60" t="s">
        <v>88</v>
      </c>
      <c r="B78" s="43"/>
      <c r="C78" s="43"/>
      <c r="H78" s="43">
        <v>-3996.9622869409927</v>
      </c>
      <c r="J78" s="43">
        <v>14.136200000000187</v>
      </c>
      <c r="L78" s="43">
        <v>-3982.8260869409924</v>
      </c>
    </row>
    <row r="79" spans="1:12" outlineLevel="1">
      <c r="A79" s="60" t="s">
        <v>63</v>
      </c>
      <c r="B79" s="43"/>
      <c r="C79" s="43"/>
      <c r="H79" s="43">
        <v>84.828310000000002</v>
      </c>
      <c r="L79" s="43">
        <v>84.828310000000002</v>
      </c>
    </row>
    <row r="80" spans="1:12" outlineLevel="1"/>
    <row r="81" spans="1:12" ht="11" thickBot="1">
      <c r="A81" s="48" t="s">
        <v>150</v>
      </c>
      <c r="B81" s="53">
        <v>1153.8412054781838</v>
      </c>
      <c r="C81" s="50"/>
      <c r="D81" s="53">
        <v>4616.1874100000023</v>
      </c>
      <c r="E81" s="49"/>
      <c r="F81" s="53">
        <v>535.47899999999981</v>
      </c>
      <c r="G81" s="53">
        <v>0</v>
      </c>
      <c r="H81" s="53">
        <v>-1395.147976940993</v>
      </c>
      <c r="I81" s="49"/>
      <c r="J81" s="53">
        <v>0</v>
      </c>
      <c r="K81" s="49"/>
      <c r="L81" s="53">
        <v>4910.359638537193</v>
      </c>
    </row>
    <row r="82" spans="1:12">
      <c r="A82" s="45" t="s">
        <v>62</v>
      </c>
      <c r="B82" s="43">
        <v>-388.59299999999996</v>
      </c>
      <c r="D82" s="43">
        <v>-43.994870000000006</v>
      </c>
      <c r="F82" s="43">
        <v>-186.83500000000001</v>
      </c>
      <c r="G82" s="43">
        <v>-186.83500000000001</v>
      </c>
      <c r="H82" s="43">
        <v>-1472.7637205993101</v>
      </c>
      <c r="J82" s="43">
        <v>-4.593</v>
      </c>
      <c r="L82" s="43">
        <v>-2283.6145905993098</v>
      </c>
    </row>
    <row r="83" spans="1:12">
      <c r="A83" s="56" t="s">
        <v>156</v>
      </c>
      <c r="B83" s="57">
        <f>B81/B69</f>
        <v>4.0067337359831132E-2</v>
      </c>
      <c r="D83" s="57">
        <f>D81/D69</f>
        <v>0.35341381163960189</v>
      </c>
      <c r="E83" s="57"/>
      <c r="F83" s="57">
        <f>F81/F69</f>
        <v>0.1186842487302725</v>
      </c>
      <c r="L83" s="57">
        <f>L81/L69</f>
        <v>0.10589277915558092</v>
      </c>
    </row>
    <row r="84" spans="1:12" ht="11" thickBot="1">
      <c r="A84" s="48" t="s">
        <v>151</v>
      </c>
      <c r="B84" s="53">
        <v>1542.4342054781837</v>
      </c>
      <c r="C84" s="54"/>
      <c r="D84" s="53">
        <v>4660.1822800000027</v>
      </c>
      <c r="E84" s="49"/>
      <c r="F84" s="53">
        <v>722.31399999999985</v>
      </c>
      <c r="G84" s="53">
        <v>186.83500000000001</v>
      </c>
      <c r="H84" s="53">
        <v>77.615743658317115</v>
      </c>
      <c r="I84" s="49"/>
      <c r="J84" s="53">
        <v>4.593</v>
      </c>
      <c r="K84" s="49"/>
      <c r="L84" s="53">
        <v>7193.9742291365028</v>
      </c>
    </row>
    <row r="85" spans="1:12">
      <c r="A85" s="56" t="s">
        <v>157</v>
      </c>
      <c r="B85" s="57">
        <f>B84/B69</f>
        <v>5.3561297146278747E-2</v>
      </c>
      <c r="D85" s="57">
        <f>D84/D69</f>
        <v>0.35678204462459873</v>
      </c>
      <c r="E85" s="57" t="e">
        <f>E84/E69</f>
        <v>#DIV/0!</v>
      </c>
      <c r="F85" s="57">
        <f>F84/F69</f>
        <v>0.16009459649651631</v>
      </c>
      <c r="L85" s="57">
        <f>L84/L69</f>
        <v>0.15513933405574973</v>
      </c>
    </row>
  </sheetData>
  <mergeCells count="4">
    <mergeCell ref="B2:L2"/>
    <mergeCell ref="B23:L23"/>
    <mergeCell ref="B44:L44"/>
    <mergeCell ref="B66:L66"/>
  </mergeCells>
  <pageMargins left="0.75" right="0.75" top="1" bottom="1" header="0.5" footer="0.5"/>
  <pageSetup paperSize="9" scale="88" orientation="portrait" r:id="rId1"/>
  <headerFooter alignWithMargins="0">
    <oddHeader>&amp;C Nota nr &amp;A str &amp;P / &amp;N</oddHeader>
    <oddFooter>&amp;C Nota nr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2:N117"/>
  <sheetViews>
    <sheetView topLeftCell="A85" workbookViewId="0">
      <selection activeCell="P82" sqref="P82"/>
    </sheetView>
  </sheetViews>
  <sheetFormatPr defaultColWidth="9.1796875" defaultRowHeight="10.5"/>
  <cols>
    <col min="1" max="1" width="29" style="45" customWidth="1"/>
    <col min="2" max="2" width="11.453125" style="44" bestFit="1" customWidth="1"/>
    <col min="3" max="3" width="1.26953125" style="44" customWidth="1"/>
    <col min="4" max="4" width="10.7265625" style="43" customWidth="1"/>
    <col min="5" max="5" width="1" style="43" customWidth="1"/>
    <col min="6" max="6" width="10.7265625" style="43" customWidth="1"/>
    <col min="7" max="7" width="1" style="43" customWidth="1"/>
    <col min="8" max="8" width="10.7265625" style="43" customWidth="1"/>
    <col min="9" max="9" width="1" style="43" customWidth="1"/>
    <col min="10" max="10" width="10.7265625" style="43" customWidth="1"/>
    <col min="11" max="11" width="1" style="43" customWidth="1"/>
    <col min="12" max="12" width="10.7265625" style="44" customWidth="1"/>
    <col min="13" max="13" width="4.7265625" style="45" customWidth="1"/>
    <col min="14" max="14" width="11.26953125" style="45" customWidth="1"/>
    <col min="15" max="15" width="9.7265625" style="45" customWidth="1"/>
    <col min="16" max="251" width="9.1796875" style="45" customWidth="1"/>
    <col min="252" max="16384" width="9.1796875" style="45"/>
  </cols>
  <sheetData>
    <row r="2" spans="1:13">
      <c r="A2" s="42" t="s">
        <v>180</v>
      </c>
      <c r="B2" s="58"/>
      <c r="C2" s="58"/>
    </row>
    <row r="3" spans="1:13" ht="31.5">
      <c r="B3" s="46" t="s">
        <v>139</v>
      </c>
      <c r="D3" s="46" t="s">
        <v>140</v>
      </c>
      <c r="F3" s="46" t="s">
        <v>141</v>
      </c>
      <c r="H3" s="46" t="s">
        <v>158</v>
      </c>
      <c r="J3" s="46" t="s">
        <v>144</v>
      </c>
    </row>
    <row r="5" spans="1:13" s="48" customFormat="1">
      <c r="A5" s="48" t="s">
        <v>145</v>
      </c>
      <c r="B5" s="49">
        <f>SUM(B6:B8)</f>
        <v>26850639.220000003</v>
      </c>
      <c r="C5" s="50"/>
      <c r="D5" s="49">
        <f>SUM(D6:D8)</f>
        <v>0</v>
      </c>
      <c r="E5" s="49"/>
      <c r="F5" s="49">
        <f>SUM(F6:F8)</f>
        <v>3818459.9</v>
      </c>
      <c r="G5" s="49"/>
      <c r="H5" s="49">
        <v>0</v>
      </c>
      <c r="I5" s="49"/>
      <c r="J5" s="49">
        <f>SUM(B5:H5)</f>
        <v>30669099.120000001</v>
      </c>
      <c r="K5" s="49"/>
      <c r="L5" s="50"/>
    </row>
    <row r="6" spans="1:13">
      <c r="A6" s="51" t="s">
        <v>146</v>
      </c>
      <c r="B6" s="43">
        <v>26786978.220000003</v>
      </c>
      <c r="C6" s="52"/>
      <c r="D6" s="43">
        <v>0</v>
      </c>
      <c r="F6" s="43">
        <v>3701864.69</v>
      </c>
      <c r="H6" s="43">
        <v>0</v>
      </c>
      <c r="J6" s="43">
        <f>SUM(B6:H6)</f>
        <v>30488842.910000004</v>
      </c>
    </row>
    <row r="7" spans="1:13">
      <c r="A7" s="51" t="s">
        <v>147</v>
      </c>
      <c r="B7" s="43">
        <v>63661</v>
      </c>
      <c r="C7" s="52"/>
      <c r="D7" s="43">
        <v>0</v>
      </c>
      <c r="F7" s="43">
        <v>116595.21</v>
      </c>
      <c r="H7" s="43">
        <v>0</v>
      </c>
      <c r="J7" s="43">
        <f>SUM(B7:H7)</f>
        <v>180256.21000000002</v>
      </c>
    </row>
    <row r="8" spans="1:13">
      <c r="A8" s="51" t="s">
        <v>148</v>
      </c>
      <c r="B8" s="43">
        <v>0</v>
      </c>
      <c r="C8" s="52"/>
      <c r="D8" s="43">
        <v>0</v>
      </c>
      <c r="F8" s="43">
        <v>0</v>
      </c>
      <c r="H8" s="43">
        <v>0</v>
      </c>
      <c r="J8" s="43">
        <f>SUM(B8:H8)</f>
        <v>0</v>
      </c>
    </row>
    <row r="9" spans="1:13">
      <c r="B9" s="43"/>
    </row>
    <row r="10" spans="1:13" s="48" customFormat="1">
      <c r="A10" s="48" t="s">
        <v>149</v>
      </c>
      <c r="B10" s="49">
        <f>SUM(B11:B15)</f>
        <v>23741051.189999998</v>
      </c>
      <c r="C10" s="50"/>
      <c r="D10" s="49">
        <f>SUM(D11:D15)</f>
        <v>0</v>
      </c>
      <c r="E10" s="49"/>
      <c r="F10" s="49">
        <f>SUM(F11:F15)</f>
        <v>2799028.85</v>
      </c>
      <c r="G10" s="49"/>
      <c r="H10" s="49">
        <f>SUM(H11:H15)</f>
        <v>2295469.5299999998</v>
      </c>
      <c r="I10" s="49"/>
      <c r="J10" s="49">
        <f t="shared" ref="J10:J15" si="0">SUM(B10:H10)</f>
        <v>28835549.57</v>
      </c>
      <c r="K10" s="49"/>
      <c r="L10" s="50"/>
    </row>
    <row r="11" spans="1:13">
      <c r="A11" s="62" t="s">
        <v>86</v>
      </c>
      <c r="B11" s="43">
        <v>2429513.87</v>
      </c>
      <c r="C11" s="43"/>
      <c r="D11" s="43">
        <v>0</v>
      </c>
      <c r="F11" s="43">
        <v>0</v>
      </c>
      <c r="H11" s="43">
        <v>0</v>
      </c>
      <c r="J11" s="43">
        <f t="shared" si="0"/>
        <v>2429513.87</v>
      </c>
      <c r="L11" s="43"/>
      <c r="M11" s="63"/>
    </row>
    <row r="12" spans="1:13">
      <c r="A12" s="62" t="s">
        <v>64</v>
      </c>
      <c r="B12" s="43">
        <v>17876162.399999999</v>
      </c>
      <c r="C12" s="43"/>
      <c r="D12" s="43">
        <v>0</v>
      </c>
      <c r="F12" s="43">
        <v>0</v>
      </c>
      <c r="H12" s="43">
        <v>0</v>
      </c>
      <c r="J12" s="43">
        <f t="shared" si="0"/>
        <v>17876162.399999999</v>
      </c>
      <c r="L12" s="43"/>
      <c r="M12" s="63"/>
    </row>
    <row r="13" spans="1:13">
      <c r="A13" s="62" t="s">
        <v>87</v>
      </c>
      <c r="B13" s="43">
        <v>3435374.92</v>
      </c>
      <c r="C13" s="43"/>
      <c r="D13" s="43">
        <v>0</v>
      </c>
      <c r="F13" s="43">
        <v>2799028.85</v>
      </c>
      <c r="H13" s="43">
        <v>17966.71</v>
      </c>
      <c r="J13" s="43">
        <f t="shared" si="0"/>
        <v>6252370.4799999995</v>
      </c>
      <c r="L13" s="43"/>
      <c r="M13" s="63"/>
    </row>
    <row r="14" spans="1:13">
      <c r="A14" s="62" t="s">
        <v>88</v>
      </c>
      <c r="B14" s="43">
        <v>0</v>
      </c>
      <c r="C14" s="43"/>
      <c r="D14" s="43">
        <v>0</v>
      </c>
      <c r="F14" s="43">
        <v>0</v>
      </c>
      <c r="H14" s="43">
        <v>2382364.34</v>
      </c>
      <c r="J14" s="43">
        <f t="shared" si="0"/>
        <v>2382364.34</v>
      </c>
      <c r="L14" s="43"/>
      <c r="M14" s="63"/>
    </row>
    <row r="15" spans="1:13">
      <c r="A15" s="62" t="s">
        <v>63</v>
      </c>
      <c r="B15" s="43">
        <v>0</v>
      </c>
      <c r="C15" s="43"/>
      <c r="D15" s="43">
        <v>0</v>
      </c>
      <c r="F15" s="43">
        <v>0</v>
      </c>
      <c r="H15" s="43">
        <v>-104861.52</v>
      </c>
      <c r="J15" s="43">
        <f t="shared" si="0"/>
        <v>-104861.52</v>
      </c>
    </row>
    <row r="17" spans="1:12" s="43" customFormat="1" ht="11" thickBot="1">
      <c r="A17" s="48" t="s">
        <v>150</v>
      </c>
      <c r="B17" s="53">
        <f>B5-B10</f>
        <v>3109588.0300000049</v>
      </c>
      <c r="C17" s="50"/>
      <c r="D17" s="53">
        <f>D5-D10</f>
        <v>0</v>
      </c>
      <c r="E17" s="49"/>
      <c r="F17" s="53">
        <f>F5-F10</f>
        <v>1019431.0499999998</v>
      </c>
      <c r="G17" s="49"/>
      <c r="H17" s="53">
        <f>H5-H10</f>
        <v>-2295469.5299999998</v>
      </c>
      <c r="I17" s="49"/>
      <c r="J17" s="53">
        <f>J5-J10</f>
        <v>1833549.5500000007</v>
      </c>
      <c r="L17" s="44"/>
    </row>
    <row r="18" spans="1:12" s="43" customFormat="1">
      <c r="A18" s="45" t="s">
        <v>62</v>
      </c>
      <c r="B18" s="43">
        <v>-155731.04</v>
      </c>
      <c r="C18" s="44"/>
      <c r="D18" s="43">
        <v>0</v>
      </c>
      <c r="F18" s="43">
        <v>-277105.13</v>
      </c>
      <c r="H18" s="43">
        <v>-214524.55</v>
      </c>
      <c r="J18" s="43">
        <f>SUM(B18:H18)</f>
        <v>-647360.72</v>
      </c>
      <c r="L18" s="44"/>
    </row>
    <row r="20" spans="1:12" s="43" customFormat="1" ht="11" thickBot="1">
      <c r="A20" s="48" t="s">
        <v>151</v>
      </c>
      <c r="B20" s="53">
        <f>B17-B18</f>
        <v>3265319.070000005</v>
      </c>
      <c r="C20" s="54"/>
      <c r="D20" s="53">
        <f>D17-D18</f>
        <v>0</v>
      </c>
      <c r="E20" s="49"/>
      <c r="F20" s="53">
        <f>F17-F18</f>
        <v>1296536.1799999997</v>
      </c>
      <c r="G20" s="49"/>
      <c r="H20" s="53">
        <f>H17-H18</f>
        <v>-2080944.9799999997</v>
      </c>
      <c r="I20" s="49"/>
      <c r="J20" s="53">
        <f>J17-J18</f>
        <v>2480910.2700000005</v>
      </c>
      <c r="L20" s="44"/>
    </row>
    <row r="25" spans="1:12" s="43" customFormat="1">
      <c r="A25" s="42" t="s">
        <v>159</v>
      </c>
      <c r="B25" s="58"/>
      <c r="C25" s="58"/>
      <c r="L25" s="44"/>
    </row>
    <row r="26" spans="1:12" s="43" customFormat="1" ht="31.5">
      <c r="A26" s="45"/>
      <c r="B26" s="46" t="s">
        <v>139</v>
      </c>
      <c r="C26" s="44"/>
      <c r="D26" s="46" t="s">
        <v>140</v>
      </c>
      <c r="F26" s="46" t="s">
        <v>141</v>
      </c>
      <c r="H26" s="46" t="s">
        <v>158</v>
      </c>
      <c r="J26" s="46" t="s">
        <v>144</v>
      </c>
      <c r="L26" s="44"/>
    </row>
    <row r="28" spans="1:12" s="43" customFormat="1">
      <c r="A28" s="48" t="s">
        <v>145</v>
      </c>
      <c r="B28" s="49">
        <f>SUM(B29:B31)</f>
        <v>41095129.259999998</v>
      </c>
      <c r="C28" s="50"/>
      <c r="D28" s="49">
        <f>SUM(D29:D31)</f>
        <v>170376.85</v>
      </c>
      <c r="E28" s="49"/>
      <c r="F28" s="49">
        <f>SUM(F29:F31)</f>
        <v>4392060</v>
      </c>
      <c r="G28" s="49"/>
      <c r="H28" s="49">
        <f>SUM(H29:H31)</f>
        <v>-580383.78</v>
      </c>
      <c r="I28" s="49"/>
      <c r="J28" s="49">
        <f>SUM(B28:H28)</f>
        <v>45077182.329999998</v>
      </c>
      <c r="L28" s="44"/>
    </row>
    <row r="29" spans="1:12" s="43" customFormat="1">
      <c r="A29" s="51" t="s">
        <v>146</v>
      </c>
      <c r="B29" s="43">
        <v>41080795.859999999</v>
      </c>
      <c r="C29" s="52"/>
      <c r="D29" s="43">
        <v>170376.85</v>
      </c>
      <c r="F29" s="43">
        <v>3699664.6399999997</v>
      </c>
      <c r="H29" s="43">
        <v>0</v>
      </c>
      <c r="J29" s="43">
        <f>SUM(B29:H29)</f>
        <v>44950837.350000001</v>
      </c>
      <c r="L29" s="44"/>
    </row>
    <row r="30" spans="1:12" s="43" customFormat="1">
      <c r="A30" s="51" t="s">
        <v>147</v>
      </c>
      <c r="B30" s="43">
        <v>14333.4</v>
      </c>
      <c r="C30" s="52"/>
      <c r="D30" s="43">
        <v>0</v>
      </c>
      <c r="F30" s="43">
        <v>112011.58</v>
      </c>
      <c r="H30" s="43">
        <v>0</v>
      </c>
      <c r="J30" s="43">
        <f>SUM(B30:H30)</f>
        <v>126344.98</v>
      </c>
      <c r="L30" s="44"/>
    </row>
    <row r="31" spans="1:12" s="43" customFormat="1">
      <c r="A31" s="51" t="s">
        <v>148</v>
      </c>
      <c r="B31" s="43">
        <v>0</v>
      </c>
      <c r="C31" s="52"/>
      <c r="D31" s="43">
        <v>0</v>
      </c>
      <c r="F31" s="43">
        <v>580383.78</v>
      </c>
      <c r="H31" s="43">
        <v>-580383.78</v>
      </c>
      <c r="J31" s="43">
        <f>SUM(B31:H31)</f>
        <v>0</v>
      </c>
      <c r="L31" s="44"/>
    </row>
    <row r="32" spans="1:12" s="43" customFormat="1">
      <c r="A32" s="45"/>
      <c r="C32" s="44"/>
      <c r="L32" s="44"/>
    </row>
    <row r="33" spans="1:13">
      <c r="A33" s="48" t="s">
        <v>149</v>
      </c>
      <c r="B33" s="49">
        <f>SUM(B34:B38)</f>
        <v>36599370.609999999</v>
      </c>
      <c r="C33" s="50"/>
      <c r="D33" s="49">
        <f>SUM(D34:D38)</f>
        <v>1623438.89</v>
      </c>
      <c r="E33" s="49"/>
      <c r="F33" s="49">
        <f>SUM(F34:F38)</f>
        <v>3444081.99</v>
      </c>
      <c r="G33" s="49"/>
      <c r="H33" s="49">
        <f>SUM(H34:H38)</f>
        <v>3924889.16</v>
      </c>
      <c r="I33" s="49"/>
      <c r="J33" s="49">
        <f t="shared" ref="J33:J38" si="1">SUM(B33:H33)</f>
        <v>45591780.650000006</v>
      </c>
    </row>
    <row r="34" spans="1:13">
      <c r="A34" s="62" t="s">
        <v>86</v>
      </c>
      <c r="B34" s="43">
        <v>4218652.76</v>
      </c>
      <c r="C34" s="43"/>
      <c r="D34" s="43">
        <v>186281.44</v>
      </c>
      <c r="F34" s="43">
        <v>109303.22</v>
      </c>
      <c r="H34" s="43">
        <v>0</v>
      </c>
      <c r="J34" s="43">
        <f t="shared" si="1"/>
        <v>4514237.42</v>
      </c>
      <c r="L34" s="43"/>
      <c r="M34" s="63"/>
    </row>
    <row r="35" spans="1:13">
      <c r="A35" s="62" t="s">
        <v>64</v>
      </c>
      <c r="B35" s="43">
        <v>28427650.350000001</v>
      </c>
      <c r="C35" s="43"/>
      <c r="D35" s="43">
        <v>0</v>
      </c>
      <c r="F35" s="43">
        <v>0</v>
      </c>
      <c r="H35" s="43">
        <v>0</v>
      </c>
      <c r="J35" s="43">
        <f t="shared" si="1"/>
        <v>28427650.350000001</v>
      </c>
      <c r="L35" s="43"/>
      <c r="M35" s="63"/>
    </row>
    <row r="36" spans="1:13">
      <c r="A36" s="62" t="s">
        <v>87</v>
      </c>
      <c r="B36" s="43">
        <v>3953067.5</v>
      </c>
      <c r="C36" s="43"/>
      <c r="D36" s="43">
        <v>1437157.45</v>
      </c>
      <c r="F36" s="43">
        <v>3334778.77</v>
      </c>
      <c r="H36" s="43">
        <v>-369753.83</v>
      </c>
      <c r="J36" s="43">
        <f t="shared" si="1"/>
        <v>8355249.8900000006</v>
      </c>
      <c r="L36" s="43"/>
      <c r="M36" s="63"/>
    </row>
    <row r="37" spans="1:13">
      <c r="A37" s="62" t="s">
        <v>88</v>
      </c>
      <c r="B37" s="43">
        <v>0</v>
      </c>
      <c r="C37" s="43"/>
      <c r="D37" s="43">
        <v>0</v>
      </c>
      <c r="F37" s="43">
        <v>0</v>
      </c>
      <c r="H37" s="43">
        <v>4244843.32</v>
      </c>
      <c r="J37" s="43">
        <f t="shared" si="1"/>
        <v>4244843.32</v>
      </c>
      <c r="L37" s="43"/>
      <c r="M37" s="63"/>
    </row>
    <row r="38" spans="1:13">
      <c r="A38" s="62" t="s">
        <v>63</v>
      </c>
      <c r="B38" s="43">
        <v>0</v>
      </c>
      <c r="C38" s="43"/>
      <c r="D38" s="43">
        <v>0</v>
      </c>
      <c r="F38" s="43">
        <v>0</v>
      </c>
      <c r="H38" s="43">
        <v>49799.67</v>
      </c>
      <c r="J38" s="43">
        <f t="shared" si="1"/>
        <v>49799.67</v>
      </c>
    </row>
    <row r="40" spans="1:13" ht="11" thickBot="1">
      <c r="A40" s="48" t="s">
        <v>150</v>
      </c>
      <c r="B40" s="53">
        <f>B28-B33</f>
        <v>4495758.6499999985</v>
      </c>
      <c r="C40" s="50"/>
      <c r="D40" s="53">
        <f>D28-D33</f>
        <v>-1453062.0399999998</v>
      </c>
      <c r="E40" s="49"/>
      <c r="F40" s="53">
        <f>F28-F33</f>
        <v>947978.00999999978</v>
      </c>
      <c r="G40" s="49"/>
      <c r="H40" s="53">
        <f>H28-H33</f>
        <v>-4505272.9400000004</v>
      </c>
      <c r="I40" s="49"/>
      <c r="J40" s="53">
        <f>J28-J33</f>
        <v>-514598.32000000775</v>
      </c>
    </row>
    <row r="41" spans="1:13">
      <c r="A41" s="45" t="s">
        <v>62</v>
      </c>
      <c r="B41" s="43">
        <v>-315564.32999999996</v>
      </c>
      <c r="C41" s="43"/>
      <c r="D41" s="43">
        <v>-159851.4</v>
      </c>
      <c r="F41" s="43">
        <v>-280804.40999999997</v>
      </c>
      <c r="H41" s="43">
        <v>-294827</v>
      </c>
      <c r="J41" s="43">
        <f>SUM(B41:H41)</f>
        <v>-1051047.1399999999</v>
      </c>
    </row>
    <row r="43" spans="1:13" ht="11" thickBot="1">
      <c r="A43" s="48" t="s">
        <v>151</v>
      </c>
      <c r="B43" s="53">
        <f>B40-B41</f>
        <v>4811322.9799999986</v>
      </c>
      <c r="C43" s="54"/>
      <c r="D43" s="53">
        <f>D40-D41</f>
        <v>-1293210.6399999999</v>
      </c>
      <c r="E43" s="49"/>
      <c r="F43" s="53">
        <f>F40-F41</f>
        <v>1228782.4199999997</v>
      </c>
      <c r="G43" s="49"/>
      <c r="H43" s="53">
        <f>H40-H41</f>
        <v>-4210445.9400000004</v>
      </c>
      <c r="I43" s="49"/>
      <c r="J43" s="53">
        <f>J40-J41</f>
        <v>536448.81999999215</v>
      </c>
    </row>
    <row r="50" spans="1:12">
      <c r="A50" s="42" t="s">
        <v>160</v>
      </c>
      <c r="B50" s="58"/>
      <c r="C50" s="58"/>
    </row>
    <row r="51" spans="1:12" ht="31.5">
      <c r="B51" s="46" t="s">
        <v>139</v>
      </c>
      <c r="D51" s="46" t="s">
        <v>140</v>
      </c>
      <c r="F51" s="46" t="s">
        <v>141</v>
      </c>
      <c r="H51" s="46" t="s">
        <v>158</v>
      </c>
      <c r="J51" s="46" t="s">
        <v>144</v>
      </c>
    </row>
    <row r="53" spans="1:12">
      <c r="A53" s="48" t="s">
        <v>145</v>
      </c>
      <c r="B53" s="49">
        <f>SUM(B54:B56)</f>
        <v>49539636.920000002</v>
      </c>
      <c r="C53" s="50"/>
      <c r="D53" s="49">
        <f>SUM(D54:D56)</f>
        <v>6966647.46</v>
      </c>
      <c r="E53" s="49"/>
      <c r="F53" s="49">
        <f>SUM(F54:F56)</f>
        <v>8218305.6499999985</v>
      </c>
      <c r="G53" s="49"/>
      <c r="H53" s="49">
        <f>SUM(H54:H56)</f>
        <v>-3273077.1999999997</v>
      </c>
      <c r="I53" s="49"/>
      <c r="J53" s="49">
        <f>SUM(B53:H53)</f>
        <v>61451512.829999998</v>
      </c>
      <c r="L53" s="44">
        <v>0</v>
      </c>
    </row>
    <row r="54" spans="1:12">
      <c r="A54" s="51" t="s">
        <v>146</v>
      </c>
      <c r="B54" s="43">
        <v>49524689.359999999</v>
      </c>
      <c r="C54" s="52"/>
      <c r="D54" s="43">
        <v>6966647.46</v>
      </c>
      <c r="F54" s="43">
        <v>4645660.959999999</v>
      </c>
      <c r="H54" s="43">
        <v>0</v>
      </c>
      <c r="J54" s="43">
        <f>SUM(B54:H54)</f>
        <v>61136997.780000001</v>
      </c>
    </row>
    <row r="55" spans="1:12">
      <c r="A55" s="51" t="s">
        <v>147</v>
      </c>
      <c r="B55" s="43">
        <v>14947.56</v>
      </c>
      <c r="C55" s="52"/>
      <c r="D55" s="43">
        <v>0</v>
      </c>
      <c r="F55" s="43">
        <v>299567.49</v>
      </c>
      <c r="H55" s="43">
        <v>0</v>
      </c>
      <c r="J55" s="43">
        <f>SUM(B55:H55)</f>
        <v>314515.05</v>
      </c>
    </row>
    <row r="56" spans="1:12">
      <c r="A56" s="51" t="s">
        <v>148</v>
      </c>
      <c r="B56" s="43">
        <v>0</v>
      </c>
      <c r="C56" s="52"/>
      <c r="D56" s="43">
        <v>0</v>
      </c>
      <c r="F56" s="43">
        <v>3273077.1999999997</v>
      </c>
      <c r="H56" s="43">
        <v>-3273077.1999999997</v>
      </c>
      <c r="J56" s="43">
        <f>SUM(B56:H56)</f>
        <v>0</v>
      </c>
    </row>
    <row r="57" spans="1:12">
      <c r="B57" s="43"/>
    </row>
    <row r="58" spans="1:12">
      <c r="A58" s="48" t="s">
        <v>149</v>
      </c>
      <c r="B58" s="49">
        <f>SUM(B59:B63)</f>
        <v>44370524.090000004</v>
      </c>
      <c r="C58" s="50"/>
      <c r="D58" s="49">
        <f>SUM(D59:D63)</f>
        <v>9708983.4400000013</v>
      </c>
      <c r="E58" s="49"/>
      <c r="F58" s="49">
        <f>SUM(F59:F63)</f>
        <v>4641438.1399999997</v>
      </c>
      <c r="G58" s="49"/>
      <c r="H58" s="49">
        <f>SUM(H59:H63)</f>
        <v>2831796.0283361925</v>
      </c>
      <c r="I58" s="49"/>
      <c r="J58" s="49">
        <f t="shared" ref="J58:J63" si="2">SUM(B58:H58)</f>
        <v>61552741.698336191</v>
      </c>
      <c r="L58" s="44">
        <v>2.5013014674186707E-3</v>
      </c>
    </row>
    <row r="59" spans="1:12">
      <c r="A59" s="62" t="s">
        <v>86</v>
      </c>
      <c r="B59" s="43">
        <v>891837.8899999999</v>
      </c>
      <c r="C59" s="43"/>
      <c r="D59" s="43">
        <v>1122024.5500000024</v>
      </c>
      <c r="F59" s="43">
        <v>227879.22</v>
      </c>
      <c r="H59" s="43">
        <v>0</v>
      </c>
      <c r="J59" s="43">
        <f t="shared" si="2"/>
        <v>2241741.6600000025</v>
      </c>
    </row>
    <row r="60" spans="1:12">
      <c r="A60" s="62" t="s">
        <v>64</v>
      </c>
      <c r="B60" s="43">
        <v>38641794.340000004</v>
      </c>
      <c r="C60" s="43"/>
      <c r="D60" s="43">
        <v>1609105.18</v>
      </c>
      <c r="F60" s="43">
        <v>0</v>
      </c>
      <c r="H60" s="43">
        <v>0</v>
      </c>
      <c r="J60" s="43">
        <f t="shared" si="2"/>
        <v>40250899.520000003</v>
      </c>
    </row>
    <row r="61" spans="1:12">
      <c r="A61" s="62" t="s">
        <v>87</v>
      </c>
      <c r="B61" s="43">
        <v>4836891.8600000003</v>
      </c>
      <c r="C61" s="43"/>
      <c r="D61" s="43">
        <v>6977853.71</v>
      </c>
      <c r="F61" s="43">
        <v>4413558.92</v>
      </c>
      <c r="H61" s="43">
        <v>-1838866.92</v>
      </c>
      <c r="J61" s="43">
        <f t="shared" si="2"/>
        <v>14389437.57</v>
      </c>
    </row>
    <row r="62" spans="1:12">
      <c r="A62" s="62" t="s">
        <v>88</v>
      </c>
      <c r="B62" s="43">
        <v>0</v>
      </c>
      <c r="C62" s="43"/>
      <c r="D62" s="43">
        <v>0</v>
      </c>
      <c r="F62" s="43">
        <v>0</v>
      </c>
      <c r="H62" s="43">
        <v>4463400.2083361922</v>
      </c>
      <c r="J62" s="43">
        <f t="shared" si="2"/>
        <v>4463400.2083361922</v>
      </c>
    </row>
    <row r="63" spans="1:12">
      <c r="A63" s="62" t="s">
        <v>63</v>
      </c>
      <c r="B63" s="43">
        <v>0</v>
      </c>
      <c r="C63" s="43"/>
      <c r="D63" s="43">
        <v>0</v>
      </c>
      <c r="F63" s="43">
        <v>0</v>
      </c>
      <c r="H63" s="43">
        <v>207262.74</v>
      </c>
      <c r="J63" s="43">
        <f t="shared" si="2"/>
        <v>207262.74</v>
      </c>
    </row>
    <row r="65" spans="1:12" ht="11" thickBot="1">
      <c r="A65" s="48" t="s">
        <v>150</v>
      </c>
      <c r="B65" s="53">
        <f>B53-B58</f>
        <v>5169112.8299999982</v>
      </c>
      <c r="C65" s="50"/>
      <c r="D65" s="53">
        <f>D53-D58</f>
        <v>-2742335.9800000014</v>
      </c>
      <c r="E65" s="49"/>
      <c r="F65" s="53">
        <f>F53-F58</f>
        <v>3576867.5099999988</v>
      </c>
      <c r="G65" s="49"/>
      <c r="H65" s="53">
        <f>H53-H58</f>
        <v>-6104873.2283361927</v>
      </c>
      <c r="I65" s="49"/>
      <c r="J65" s="53">
        <f>J53-J58</f>
        <v>-101228.86833619326</v>
      </c>
    </row>
    <row r="66" spans="1:12">
      <c r="A66" s="45" t="s">
        <v>62</v>
      </c>
      <c r="B66" s="43">
        <v>-437885.2</v>
      </c>
      <c r="C66" s="43"/>
      <c r="D66" s="43">
        <v>-1877675.04</v>
      </c>
      <c r="F66" s="43">
        <v>-266179.49</v>
      </c>
      <c r="H66" s="43">
        <v>-376048.07413241221</v>
      </c>
      <c r="J66" s="43">
        <f>SUM(B66:H66)</f>
        <v>-2957787.8041324127</v>
      </c>
      <c r="L66" s="44">
        <v>0</v>
      </c>
    </row>
    <row r="68" spans="1:12" ht="11" thickBot="1">
      <c r="A68" s="48" t="s">
        <v>151</v>
      </c>
      <c r="B68" s="53">
        <f>B65-B66</f>
        <v>5606998.0299999984</v>
      </c>
      <c r="C68" s="54"/>
      <c r="D68" s="53">
        <f>D65-D66</f>
        <v>-864660.94000000134</v>
      </c>
      <c r="E68" s="49"/>
      <c r="F68" s="53">
        <f>F65-F66</f>
        <v>3843046.9999999991</v>
      </c>
      <c r="G68" s="49"/>
      <c r="H68" s="53">
        <f>H65-H66</f>
        <v>-5728825.15420378</v>
      </c>
      <c r="I68" s="49"/>
      <c r="J68" s="53">
        <f>J65-J66</f>
        <v>2856558.9357962194</v>
      </c>
    </row>
    <row r="75" spans="1:12">
      <c r="A75" s="42" t="s">
        <v>161</v>
      </c>
      <c r="B75" s="58"/>
      <c r="C75" s="58"/>
    </row>
    <row r="76" spans="1:12" ht="31.5">
      <c r="B76" s="46" t="s">
        <v>139</v>
      </c>
      <c r="D76" s="46" t="s">
        <v>140</v>
      </c>
      <c r="F76" s="46" t="s">
        <v>141</v>
      </c>
      <c r="H76" s="46" t="s">
        <v>142</v>
      </c>
      <c r="J76" s="46" t="s">
        <v>143</v>
      </c>
      <c r="L76" s="46" t="s">
        <v>144</v>
      </c>
    </row>
    <row r="77" spans="1:12">
      <c r="L77" s="43"/>
    </row>
    <row r="78" spans="1:12">
      <c r="A78" s="48" t="s">
        <v>145</v>
      </c>
      <c r="B78" s="49">
        <f>SUM(B79:B81)</f>
        <v>53359520.377709188</v>
      </c>
      <c r="C78" s="50"/>
      <c r="D78" s="49">
        <f>SUM(D79:D81)</f>
        <v>18219395.219999999</v>
      </c>
      <c r="E78" s="49"/>
      <c r="F78" s="49">
        <f>SUM(F79:F81)</f>
        <v>5796912.0300000003</v>
      </c>
      <c r="G78" s="49"/>
      <c r="H78" s="49">
        <f>SUM(H79:H81)</f>
        <v>5247162.6722908253</v>
      </c>
      <c r="I78" s="49">
        <f>SUM(I79:I81)</f>
        <v>0</v>
      </c>
      <c r="J78" s="49">
        <f>SUM(J79:J81)</f>
        <v>-5247162.6722908253</v>
      </c>
      <c r="L78" s="49">
        <f>SUM(B78:J78)</f>
        <v>77375827.62770918</v>
      </c>
    </row>
    <row r="79" spans="1:12">
      <c r="A79" s="51" t="s">
        <v>146</v>
      </c>
      <c r="B79" s="43">
        <v>53359520.377709188</v>
      </c>
      <c r="C79" s="52"/>
      <c r="D79" s="43">
        <v>18219395.219999999</v>
      </c>
      <c r="F79" s="43">
        <v>5667173.4000000004</v>
      </c>
      <c r="H79" s="43">
        <v>0</v>
      </c>
      <c r="J79" s="43">
        <v>0</v>
      </c>
      <c r="L79" s="43">
        <f>SUM(B79:J79)</f>
        <v>77246088.997709185</v>
      </c>
    </row>
    <row r="80" spans="1:12">
      <c r="A80" s="51" t="s">
        <v>147</v>
      </c>
      <c r="B80" s="43">
        <v>0</v>
      </c>
      <c r="C80" s="52"/>
      <c r="D80" s="43">
        <v>0</v>
      </c>
      <c r="F80" s="43">
        <v>129738.63</v>
      </c>
      <c r="H80" s="43">
        <v>0</v>
      </c>
      <c r="J80" s="43">
        <v>0</v>
      </c>
      <c r="L80" s="43">
        <f>SUM(B80:J80)</f>
        <v>129738.63</v>
      </c>
    </row>
    <row r="81" spans="1:14">
      <c r="A81" s="51" t="s">
        <v>148</v>
      </c>
      <c r="B81" s="43">
        <v>0</v>
      </c>
      <c r="C81" s="52"/>
      <c r="D81" s="43">
        <v>0</v>
      </c>
      <c r="F81" s="43">
        <v>0</v>
      </c>
      <c r="H81" s="43">
        <v>5247162.6722908253</v>
      </c>
      <c r="J81" s="43">
        <v>-5247162.6722908253</v>
      </c>
      <c r="L81" s="43">
        <f>SUM(B81:J81)</f>
        <v>0</v>
      </c>
    </row>
    <row r="82" spans="1:14">
      <c r="B82" s="43"/>
      <c r="L82" s="43"/>
    </row>
    <row r="83" spans="1:14">
      <c r="A83" s="48" t="s">
        <v>149</v>
      </c>
      <c r="B83" s="49">
        <f>SUM(B84:B88)</f>
        <v>46054032.030000001</v>
      </c>
      <c r="C83" s="50"/>
      <c r="D83" s="49">
        <f>SUM(D84:D88)</f>
        <v>12499256.971986184</v>
      </c>
      <c r="E83" s="49"/>
      <c r="F83" s="49">
        <f>SUM(F84:F88)</f>
        <v>5309885.12</v>
      </c>
      <c r="G83" s="49"/>
      <c r="H83" s="49">
        <f>SUM(H84:H88)</f>
        <v>6882702.7379722735</v>
      </c>
      <c r="I83" s="49">
        <f>SUM(I84:I88)</f>
        <v>0</v>
      </c>
      <c r="J83" s="49">
        <f>SUM(J84:J88)</f>
        <v>-3717603.7065045964</v>
      </c>
      <c r="L83" s="49">
        <f t="shared" ref="L83:L88" si="3">SUM(B83:J83)</f>
        <v>67028273.153453857</v>
      </c>
    </row>
    <row r="84" spans="1:14">
      <c r="A84" s="62" t="s">
        <v>86</v>
      </c>
      <c r="B84" s="43">
        <v>8944446.4100000001</v>
      </c>
      <c r="C84" s="43"/>
      <c r="D84" s="43">
        <v>8660472.2899999991</v>
      </c>
      <c r="F84" s="43">
        <v>5309885.12</v>
      </c>
      <c r="H84" s="43">
        <v>1858121.8319861901</v>
      </c>
      <c r="J84" s="43">
        <v>-4861624.8100000005</v>
      </c>
      <c r="L84" s="43">
        <f t="shared" si="3"/>
        <v>19911300.841986187</v>
      </c>
      <c r="N84" s="45">
        <v>-1.9861795008182526E-3</v>
      </c>
    </row>
    <row r="85" spans="1:14">
      <c r="A85" s="62" t="s">
        <v>64</v>
      </c>
      <c r="B85" s="43">
        <v>34727324.960000001</v>
      </c>
      <c r="C85" s="43"/>
      <c r="D85" s="43">
        <v>1450555.3299999982</v>
      </c>
      <c r="F85" s="43">
        <v>0</v>
      </c>
      <c r="H85" s="43">
        <v>0</v>
      </c>
      <c r="J85" s="43">
        <v>1237195.9699999988</v>
      </c>
      <c r="L85" s="43">
        <f t="shared" si="3"/>
        <v>37415076.259999998</v>
      </c>
      <c r="N85" s="45">
        <v>0</v>
      </c>
    </row>
    <row r="86" spans="1:14">
      <c r="A86" s="62" t="s">
        <v>87</v>
      </c>
      <c r="B86" s="43">
        <v>2382260.66</v>
      </c>
      <c r="C86" s="43"/>
      <c r="D86" s="43">
        <v>1348990.06</v>
      </c>
      <c r="H86" s="43">
        <v>0</v>
      </c>
      <c r="J86" s="43">
        <v>-113301</v>
      </c>
      <c r="L86" s="43">
        <f t="shared" si="3"/>
        <v>3617949.72</v>
      </c>
      <c r="N86" s="45">
        <v>-0.40849079610779881</v>
      </c>
    </row>
    <row r="87" spans="1:14">
      <c r="A87" s="62" t="s">
        <v>88</v>
      </c>
      <c r="B87" s="43">
        <v>0</v>
      </c>
      <c r="C87" s="43"/>
      <c r="D87" s="43">
        <v>1059365.4219861859</v>
      </c>
      <c r="F87" s="43">
        <v>0</v>
      </c>
      <c r="H87" s="43">
        <v>5192228.4959860835</v>
      </c>
      <c r="J87" s="43">
        <v>0</v>
      </c>
      <c r="L87" s="43">
        <f t="shared" si="3"/>
        <v>6251593.9179722695</v>
      </c>
      <c r="N87" s="45">
        <v>0</v>
      </c>
    </row>
    <row r="88" spans="1:14">
      <c r="A88" s="62" t="s">
        <v>63</v>
      </c>
      <c r="B88" s="43">
        <v>0</v>
      </c>
      <c r="C88" s="43"/>
      <c r="D88" s="43">
        <v>-20126.13</v>
      </c>
      <c r="F88" s="43">
        <v>0</v>
      </c>
      <c r="H88" s="43">
        <v>-167647.58999999997</v>
      </c>
      <c r="J88" s="43">
        <v>20126.133495405302</v>
      </c>
      <c r="L88" s="43">
        <f t="shared" si="3"/>
        <v>-167647.58650459466</v>
      </c>
      <c r="N88" s="45">
        <v>-3.4954053116962314E-3</v>
      </c>
    </row>
    <row r="89" spans="1:14">
      <c r="L89" s="43"/>
    </row>
    <row r="90" spans="1:14" ht="11" thickBot="1">
      <c r="A90" s="48" t="s">
        <v>150</v>
      </c>
      <c r="B90" s="53">
        <f>B78-B83</f>
        <v>7305488.3477091864</v>
      </c>
      <c r="C90" s="50"/>
      <c r="D90" s="53">
        <f>D78-D83</f>
        <v>5720138.2480138149</v>
      </c>
      <c r="E90" s="49"/>
      <c r="F90" s="53">
        <f>F78-F83</f>
        <v>487026.91000000015</v>
      </c>
      <c r="G90" s="49"/>
      <c r="H90" s="53">
        <f>H78-H83</f>
        <v>-1635540.0656814482</v>
      </c>
      <c r="I90" s="49"/>
      <c r="J90" s="53">
        <f>J78-J83</f>
        <v>-1529558.9657862289</v>
      </c>
      <c r="L90" s="53">
        <f>L78-L83</f>
        <v>10347554.474255323</v>
      </c>
      <c r="N90" s="45">
        <v>-0.41397238150238991</v>
      </c>
    </row>
    <row r="91" spans="1:14">
      <c r="A91" s="45" t="s">
        <v>62</v>
      </c>
      <c r="B91" s="43">
        <v>-510884.5</v>
      </c>
      <c r="C91" s="43" t="e">
        <f>#REF!</f>
        <v>#REF!</v>
      </c>
      <c r="D91" s="43">
        <v>-64178.57</v>
      </c>
      <c r="E91" s="43" t="e">
        <f>#REF!</f>
        <v>#REF!</v>
      </c>
      <c r="F91" s="43">
        <v>-248408.67</v>
      </c>
      <c r="G91" s="43" t="e">
        <f>#REF!</f>
        <v>#REF!</v>
      </c>
      <c r="H91" s="43">
        <v>-2220766.75413241</v>
      </c>
      <c r="I91" s="43" t="e">
        <f>#REF!</f>
        <v>#REF!</v>
      </c>
      <c r="J91" s="43">
        <v>0</v>
      </c>
      <c r="L91" s="43">
        <v>-3044238.4941324098</v>
      </c>
      <c r="N91" s="45">
        <v>0</v>
      </c>
    </row>
    <row r="92" spans="1:14">
      <c r="L92" s="43"/>
    </row>
    <row r="93" spans="1:14" ht="11" thickBot="1">
      <c r="A93" s="48" t="s">
        <v>151</v>
      </c>
      <c r="B93" s="53">
        <f>B90-B91</f>
        <v>7816372.8477091864</v>
      </c>
      <c r="C93" s="54"/>
      <c r="D93" s="53">
        <f>D90-D91</f>
        <v>5784316.8180138152</v>
      </c>
      <c r="E93" s="49"/>
      <c r="F93" s="53">
        <f>F90-F91</f>
        <v>735435.58000000019</v>
      </c>
      <c r="G93" s="49"/>
      <c r="H93" s="53">
        <f>H90-H91</f>
        <v>585226.68845096184</v>
      </c>
      <c r="I93" s="49"/>
      <c r="J93" s="53">
        <f>J90-J91</f>
        <v>-1529558.9657862289</v>
      </c>
      <c r="L93" s="53">
        <f>L90-L91</f>
        <v>13391792.968387734</v>
      </c>
    </row>
    <row r="99" spans="1:14">
      <c r="A99" s="42" t="s">
        <v>179</v>
      </c>
      <c r="B99" s="58"/>
      <c r="C99" s="58"/>
    </row>
    <row r="100" spans="1:14" ht="31.5">
      <c r="B100" s="46" t="s">
        <v>139</v>
      </c>
      <c r="D100" s="46" t="s">
        <v>140</v>
      </c>
      <c r="F100" s="46" t="s">
        <v>141</v>
      </c>
      <c r="H100" s="46" t="s">
        <v>142</v>
      </c>
      <c r="J100" s="46" t="s">
        <v>143</v>
      </c>
      <c r="L100" s="46" t="s">
        <v>144</v>
      </c>
    </row>
    <row r="101" spans="1:14">
      <c r="L101" s="43"/>
    </row>
    <row r="102" spans="1:14">
      <c r="A102" s="48" t="s">
        <v>145</v>
      </c>
      <c r="B102" s="49">
        <f>SUM(B103:B105)</f>
        <v>56953576.519999996</v>
      </c>
      <c r="C102" s="50"/>
      <c r="D102" s="49">
        <f>SUM(D103:D105)</f>
        <v>16691761.069999998</v>
      </c>
      <c r="E102" s="49"/>
      <c r="F102" s="49">
        <f>SUM(F103:F105)</f>
        <v>5048068.4799999995</v>
      </c>
      <c r="G102" s="49"/>
      <c r="H102" s="49">
        <f>SUM(H103:H105)</f>
        <v>4932601.24</v>
      </c>
      <c r="I102" s="49"/>
      <c r="J102" s="49">
        <f>SUM(J103:J105)</f>
        <v>-4932601.24</v>
      </c>
      <c r="L102" s="49">
        <f>SUM(B102:J102)</f>
        <v>78693406.069999993</v>
      </c>
    </row>
    <row r="103" spans="1:14">
      <c r="A103" s="51" t="s">
        <v>146</v>
      </c>
      <c r="B103" s="43">
        <v>56953576.519999996</v>
      </c>
      <c r="C103" s="52"/>
      <c r="D103" s="43">
        <v>16691761.069999998</v>
      </c>
      <c r="F103" s="43">
        <v>4588310.2399999993</v>
      </c>
      <c r="H103" s="43">
        <v>0</v>
      </c>
      <c r="J103" s="43">
        <v>0</v>
      </c>
      <c r="L103" s="43">
        <f>SUM(B103:J103)</f>
        <v>78233647.829999983</v>
      </c>
    </row>
    <row r="104" spans="1:14">
      <c r="A104" s="51" t="s">
        <v>147</v>
      </c>
      <c r="B104" s="43">
        <v>0</v>
      </c>
      <c r="C104" s="52"/>
      <c r="D104" s="43">
        <v>0</v>
      </c>
      <c r="F104" s="43">
        <v>459758.24</v>
      </c>
      <c r="H104" s="43">
        <v>0</v>
      </c>
      <c r="J104" s="43">
        <v>0</v>
      </c>
      <c r="L104" s="43">
        <f>SUM(B104:J104)</f>
        <v>459758.24</v>
      </c>
    </row>
    <row r="105" spans="1:14">
      <c r="A105" s="51" t="s">
        <v>148</v>
      </c>
      <c r="B105" s="43">
        <v>0</v>
      </c>
      <c r="C105" s="52"/>
      <c r="D105" s="43">
        <v>0</v>
      </c>
      <c r="F105" s="43">
        <v>0</v>
      </c>
      <c r="H105" s="43">
        <v>4932601.24</v>
      </c>
      <c r="J105" s="43">
        <v>-4932601.24</v>
      </c>
      <c r="L105" s="43">
        <f>SUM(B105:J105)</f>
        <v>0</v>
      </c>
    </row>
    <row r="106" spans="1:14">
      <c r="B106" s="43"/>
      <c r="L106" s="43"/>
    </row>
    <row r="107" spans="1:14">
      <c r="A107" s="48" t="s">
        <v>149</v>
      </c>
      <c r="B107" s="49">
        <f>SUM(B108:B112)</f>
        <v>52217010.290000007</v>
      </c>
      <c r="C107" s="50"/>
      <c r="D107" s="49">
        <f>SUM(D108:D112)</f>
        <v>13514184.02</v>
      </c>
      <c r="E107" s="49"/>
      <c r="F107" s="49">
        <f>SUM(F108:F112)</f>
        <v>4179912.33</v>
      </c>
      <c r="G107" s="49"/>
      <c r="H107" s="49">
        <f>SUM(H108:H112)</f>
        <v>8236063.8999999994</v>
      </c>
      <c r="I107" s="49"/>
      <c r="J107" s="49">
        <f>SUM(J108:J112)</f>
        <v>-4853399.5400000038</v>
      </c>
      <c r="L107" s="49">
        <f t="shared" ref="L107:L112" si="4">SUM(B107:J107)</f>
        <v>73293771</v>
      </c>
    </row>
    <row r="108" spans="1:14">
      <c r="A108" s="62" t="s">
        <v>86</v>
      </c>
      <c r="B108" s="43">
        <v>6066826.2999999989</v>
      </c>
      <c r="C108" s="43"/>
      <c r="D108" s="43">
        <v>9051361</v>
      </c>
      <c r="F108" s="43">
        <v>4179912.33</v>
      </c>
      <c r="H108" s="43">
        <v>3085260.62</v>
      </c>
      <c r="J108" s="43">
        <v>-5207593.0500000007</v>
      </c>
      <c r="L108" s="43">
        <f t="shared" si="4"/>
        <v>17175767.199999999</v>
      </c>
      <c r="N108" s="45">
        <v>0</v>
      </c>
    </row>
    <row r="109" spans="1:14">
      <c r="A109" s="62" t="s">
        <v>64</v>
      </c>
      <c r="B109" s="43">
        <v>43168416.400000006</v>
      </c>
      <c r="C109" s="43"/>
      <c r="D109" s="43">
        <v>1920056.01</v>
      </c>
      <c r="F109" s="43">
        <v>0</v>
      </c>
      <c r="H109" s="43">
        <v>0</v>
      </c>
      <c r="J109" s="43">
        <v>347945.47999999701</v>
      </c>
      <c r="L109" s="43">
        <f t="shared" si="4"/>
        <v>45436417.890000001</v>
      </c>
      <c r="N109" s="45">
        <v>0</v>
      </c>
    </row>
    <row r="110" spans="1:14">
      <c r="A110" s="62" t="s">
        <v>87</v>
      </c>
      <c r="B110" s="43">
        <v>2981767.5900000003</v>
      </c>
      <c r="C110" s="43"/>
      <c r="D110" s="43">
        <v>1242661</v>
      </c>
      <c r="F110" s="43">
        <v>0</v>
      </c>
      <c r="H110" s="43">
        <v>0</v>
      </c>
      <c r="J110" s="43">
        <v>0</v>
      </c>
      <c r="L110" s="43">
        <f t="shared" si="4"/>
        <v>4224428.59</v>
      </c>
      <c r="N110" s="45">
        <v>0</v>
      </c>
    </row>
    <row r="111" spans="1:14">
      <c r="A111" s="62" t="s">
        <v>88</v>
      </c>
      <c r="B111" s="43">
        <v>0</v>
      </c>
      <c r="C111" s="43"/>
      <c r="D111" s="43">
        <v>1291975.2</v>
      </c>
      <c r="F111" s="43">
        <v>0</v>
      </c>
      <c r="H111" s="43">
        <v>5090762.6599999992</v>
      </c>
      <c r="J111" s="43">
        <v>-15888.27</v>
      </c>
      <c r="L111" s="43">
        <f t="shared" si="4"/>
        <v>6366849.5899999999</v>
      </c>
      <c r="N111" s="45">
        <v>0</v>
      </c>
    </row>
    <row r="112" spans="1:14">
      <c r="A112" s="62" t="s">
        <v>63</v>
      </c>
      <c r="B112" s="43">
        <v>0</v>
      </c>
      <c r="C112" s="43"/>
      <c r="D112" s="43">
        <v>8130.8100000000013</v>
      </c>
      <c r="F112" s="43">
        <v>0</v>
      </c>
      <c r="H112" s="43">
        <v>60040.619999999995</v>
      </c>
      <c r="J112" s="43">
        <v>22136.3</v>
      </c>
      <c r="L112" s="43">
        <f t="shared" si="4"/>
        <v>90307.73</v>
      </c>
      <c r="N112" s="45">
        <v>0</v>
      </c>
    </row>
    <row r="113" spans="1:14">
      <c r="L113" s="43"/>
    </row>
    <row r="114" spans="1:14" ht="11" thickBot="1">
      <c r="A114" s="48" t="s">
        <v>150</v>
      </c>
      <c r="B114" s="53">
        <f>B102-B107</f>
        <v>4736566.2299999893</v>
      </c>
      <c r="C114" s="50"/>
      <c r="D114" s="53">
        <f>D102-D107</f>
        <v>3177577.0499999989</v>
      </c>
      <c r="E114" s="49"/>
      <c r="F114" s="53">
        <f>F102-F107</f>
        <v>868156.14999999944</v>
      </c>
      <c r="G114" s="49"/>
      <c r="H114" s="53">
        <f>H102-H107</f>
        <v>-3303462.6599999992</v>
      </c>
      <c r="I114" s="49"/>
      <c r="J114" s="53">
        <f>J102-J107</f>
        <v>-79201.699999996461</v>
      </c>
      <c r="L114" s="53">
        <f>L102-L107</f>
        <v>5399635.0699999928</v>
      </c>
      <c r="N114" s="45">
        <v>0</v>
      </c>
    </row>
    <row r="115" spans="1:14">
      <c r="A115" s="45" t="s">
        <v>62</v>
      </c>
      <c r="B115" s="43">
        <v>-738573.13000000012</v>
      </c>
      <c r="C115" s="43"/>
      <c r="D115" s="43">
        <v>-109402.94</v>
      </c>
      <c r="F115" s="43">
        <v>-228152.97999999998</v>
      </c>
      <c r="H115" s="43">
        <v>-2817213.3899999997</v>
      </c>
      <c r="I115" s="43" t="e">
        <f>#REF!</f>
        <v>#REF!</v>
      </c>
      <c r="J115" s="43">
        <v>0</v>
      </c>
      <c r="L115" s="43">
        <v>-3893342.4399999995</v>
      </c>
      <c r="N115" s="45">
        <v>0</v>
      </c>
    </row>
    <row r="116" spans="1:14">
      <c r="L116" s="43"/>
    </row>
    <row r="117" spans="1:14" ht="11" thickBot="1">
      <c r="A117" s="48" t="s">
        <v>151</v>
      </c>
      <c r="B117" s="53">
        <f>B114-B115</f>
        <v>5475139.3599999892</v>
      </c>
      <c r="C117" s="54"/>
      <c r="D117" s="53">
        <f>D114-D115</f>
        <v>3286979.9899999988</v>
      </c>
      <c r="E117" s="49"/>
      <c r="F117" s="53">
        <f>F114-F115</f>
        <v>1096309.1299999994</v>
      </c>
      <c r="G117" s="49"/>
      <c r="H117" s="53">
        <f>H114-H115</f>
        <v>-486249.26999999955</v>
      </c>
      <c r="I117" s="49"/>
      <c r="J117" s="53">
        <f>J114-J115</f>
        <v>-79201.699999996461</v>
      </c>
      <c r="L117" s="53">
        <f>L114-L115</f>
        <v>9292977.5099999923</v>
      </c>
    </row>
  </sheetData>
  <pageMargins left="0.75" right="0.75" top="1" bottom="1" header="0.5" footer="0.5"/>
  <pageSetup paperSize="9" scale="88" orientation="portrait" r:id="rId1"/>
  <headerFooter alignWithMargins="0">
    <oddHeader>&amp;C Nota nr &amp;A str &amp;P / &amp;N</oddHeader>
    <oddFooter>&amp;C Nota nr 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IQ61"/>
  <sheetViews>
    <sheetView topLeftCell="A16" workbookViewId="0">
      <selection activeCell="B71" sqref="B71"/>
    </sheetView>
  </sheetViews>
  <sheetFormatPr defaultColWidth="9.1796875" defaultRowHeight="10.5" outlineLevelRow="1" outlineLevelCol="1"/>
  <cols>
    <col min="1" max="1" width="29" style="45" customWidth="1"/>
    <col min="2" max="2" width="10.7265625" style="44" customWidth="1"/>
    <col min="3" max="3" width="1.26953125" style="44" customWidth="1"/>
    <col min="4" max="4" width="10.7265625" style="43" customWidth="1"/>
    <col min="5" max="5" width="1" style="43" customWidth="1"/>
    <col min="6" max="6" width="10.7265625" style="43" customWidth="1"/>
    <col min="7" max="7" width="1" style="43" hidden="1" customWidth="1" outlineLevel="1"/>
    <col min="8" max="8" width="10.7265625" style="43" hidden="1" customWidth="1" outlineLevel="1"/>
    <col min="9" max="9" width="1" style="43" customWidth="1" collapsed="1"/>
    <col min="10" max="10" width="10.7265625" style="43" customWidth="1"/>
    <col min="11" max="11" width="1" style="43" customWidth="1"/>
    <col min="12" max="248" width="9.1796875" style="45" customWidth="1"/>
    <col min="249" max="16384" width="9.1796875" style="45"/>
  </cols>
  <sheetData>
    <row r="1" spans="1:251" s="43" customFormat="1">
      <c r="A1" s="42" t="s">
        <v>159</v>
      </c>
      <c r="B1" s="58"/>
      <c r="C1" s="58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  <c r="CJ1" s="45"/>
      <c r="CK1" s="45"/>
      <c r="CL1" s="45"/>
      <c r="CM1" s="45"/>
      <c r="CN1" s="45"/>
      <c r="CO1" s="45"/>
      <c r="CP1" s="45"/>
      <c r="CQ1" s="45"/>
      <c r="CR1" s="45"/>
      <c r="CS1" s="45"/>
      <c r="CT1" s="45"/>
      <c r="CU1" s="45"/>
      <c r="CV1" s="45"/>
      <c r="CW1" s="45"/>
      <c r="CX1" s="45"/>
      <c r="CY1" s="45"/>
      <c r="CZ1" s="45"/>
      <c r="DA1" s="45"/>
      <c r="DB1" s="45"/>
      <c r="DC1" s="45"/>
      <c r="DD1" s="45"/>
      <c r="DE1" s="45"/>
      <c r="DF1" s="45"/>
      <c r="DG1" s="45"/>
      <c r="DH1" s="45"/>
      <c r="DI1" s="45"/>
      <c r="DJ1" s="45"/>
      <c r="DK1" s="45"/>
      <c r="DL1" s="45"/>
      <c r="DM1" s="45"/>
      <c r="DN1" s="45"/>
      <c r="DO1" s="45"/>
      <c r="DP1" s="45"/>
      <c r="DQ1" s="45"/>
      <c r="DR1" s="45"/>
      <c r="DS1" s="45"/>
      <c r="DT1" s="45"/>
      <c r="DU1" s="45"/>
      <c r="DV1" s="45"/>
      <c r="DW1" s="45"/>
      <c r="DX1" s="45"/>
      <c r="DY1" s="45"/>
      <c r="DZ1" s="45"/>
      <c r="EA1" s="45"/>
      <c r="EB1" s="45"/>
      <c r="EC1" s="45"/>
      <c r="ED1" s="45"/>
      <c r="EE1" s="45"/>
      <c r="EF1" s="45"/>
      <c r="EG1" s="45"/>
      <c r="EH1" s="45"/>
      <c r="EI1" s="45"/>
      <c r="EJ1" s="45"/>
      <c r="EK1" s="45"/>
      <c r="EL1" s="45"/>
      <c r="EM1" s="45"/>
      <c r="EN1" s="45"/>
      <c r="EO1" s="45"/>
      <c r="EP1" s="45"/>
      <c r="EQ1" s="45"/>
      <c r="ER1" s="45"/>
      <c r="ES1" s="45"/>
      <c r="ET1" s="45"/>
      <c r="EU1" s="45"/>
      <c r="EV1" s="45"/>
      <c r="EW1" s="45"/>
      <c r="EX1" s="45"/>
      <c r="EY1" s="45"/>
      <c r="EZ1" s="45"/>
      <c r="FA1" s="45"/>
      <c r="FB1" s="45"/>
      <c r="FC1" s="45"/>
      <c r="FD1" s="45"/>
      <c r="FE1" s="45"/>
      <c r="FF1" s="45"/>
      <c r="FG1" s="45"/>
      <c r="FH1" s="45"/>
      <c r="FI1" s="45"/>
      <c r="FJ1" s="45"/>
      <c r="FK1" s="45"/>
      <c r="FL1" s="45"/>
      <c r="FM1" s="45"/>
      <c r="FN1" s="45"/>
      <c r="FO1" s="45"/>
      <c r="FP1" s="45"/>
      <c r="FQ1" s="45"/>
      <c r="FR1" s="45"/>
      <c r="FS1" s="45"/>
      <c r="FT1" s="45"/>
      <c r="FU1" s="45"/>
      <c r="FV1" s="45"/>
      <c r="FW1" s="45"/>
      <c r="FX1" s="45"/>
      <c r="FY1" s="45"/>
      <c r="FZ1" s="45"/>
      <c r="GA1" s="45"/>
      <c r="GB1" s="45"/>
      <c r="GC1" s="45"/>
      <c r="GD1" s="45"/>
      <c r="GE1" s="45"/>
      <c r="GF1" s="45"/>
      <c r="GG1" s="45"/>
      <c r="GH1" s="45"/>
      <c r="GI1" s="45"/>
      <c r="GJ1" s="45"/>
      <c r="GK1" s="45"/>
      <c r="GL1" s="45"/>
      <c r="GM1" s="45"/>
      <c r="GN1" s="45"/>
      <c r="GO1" s="45"/>
      <c r="GP1" s="45"/>
      <c r="GQ1" s="45"/>
      <c r="GR1" s="45"/>
      <c r="GS1" s="45"/>
      <c r="GT1" s="45"/>
      <c r="GU1" s="45"/>
      <c r="GV1" s="45"/>
      <c r="GW1" s="45"/>
      <c r="GX1" s="45"/>
      <c r="GY1" s="45"/>
      <c r="GZ1" s="45"/>
      <c r="HA1" s="45"/>
      <c r="HB1" s="45"/>
      <c r="HC1" s="45"/>
      <c r="HD1" s="45"/>
      <c r="HE1" s="45"/>
      <c r="HF1" s="45"/>
      <c r="HG1" s="45"/>
      <c r="HH1" s="45"/>
      <c r="HI1" s="45"/>
      <c r="HJ1" s="45"/>
      <c r="HK1" s="45"/>
      <c r="HL1" s="45"/>
      <c r="HM1" s="45"/>
      <c r="HN1" s="45"/>
      <c r="HO1" s="45"/>
      <c r="HP1" s="45"/>
      <c r="HQ1" s="45"/>
      <c r="HR1" s="45"/>
      <c r="HS1" s="45"/>
      <c r="HT1" s="45"/>
      <c r="HU1" s="45"/>
      <c r="HV1" s="45"/>
      <c r="HW1" s="45"/>
      <c r="HX1" s="45"/>
      <c r="HY1" s="45"/>
      <c r="HZ1" s="45"/>
      <c r="IA1" s="45"/>
      <c r="IB1" s="45"/>
      <c r="IC1" s="45"/>
      <c r="ID1" s="45"/>
      <c r="IE1" s="45"/>
      <c r="IF1" s="45"/>
      <c r="IG1" s="45"/>
      <c r="IH1" s="45"/>
      <c r="II1" s="45"/>
      <c r="IJ1" s="45"/>
      <c r="IK1" s="45"/>
      <c r="IL1" s="45"/>
      <c r="IM1" s="45"/>
      <c r="IN1" s="45"/>
      <c r="IO1" s="45"/>
      <c r="IP1" s="45"/>
      <c r="IQ1" s="45"/>
    </row>
    <row r="2" spans="1:251" s="43" customFormat="1" ht="31.5">
      <c r="A2" s="45"/>
      <c r="B2" s="46" t="s">
        <v>139</v>
      </c>
      <c r="C2" s="44"/>
      <c r="D2" s="46" t="s">
        <v>140</v>
      </c>
      <c r="F2" s="46" t="s">
        <v>141</v>
      </c>
      <c r="H2" s="46" t="s">
        <v>158</v>
      </c>
      <c r="J2" s="46" t="s">
        <v>144</v>
      </c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5"/>
      <c r="CK2" s="45"/>
      <c r="CL2" s="45"/>
      <c r="CM2" s="45"/>
      <c r="CN2" s="45"/>
      <c r="CO2" s="45"/>
      <c r="CP2" s="45"/>
      <c r="CQ2" s="45"/>
      <c r="CR2" s="45"/>
      <c r="CS2" s="45"/>
      <c r="CT2" s="45"/>
      <c r="CU2" s="45"/>
      <c r="CV2" s="45"/>
      <c r="CW2" s="45"/>
      <c r="CX2" s="45"/>
      <c r="CY2" s="45"/>
      <c r="CZ2" s="45"/>
      <c r="DA2" s="45"/>
      <c r="DB2" s="45"/>
      <c r="DC2" s="45"/>
      <c r="DD2" s="45"/>
      <c r="DE2" s="45"/>
      <c r="DF2" s="45"/>
      <c r="DG2" s="45"/>
      <c r="DH2" s="45"/>
      <c r="DI2" s="45"/>
      <c r="DJ2" s="45"/>
      <c r="DK2" s="45"/>
      <c r="DL2" s="45"/>
      <c r="DM2" s="45"/>
      <c r="DN2" s="45"/>
      <c r="DO2" s="45"/>
      <c r="DP2" s="45"/>
      <c r="DQ2" s="45"/>
      <c r="DR2" s="45"/>
      <c r="DS2" s="45"/>
      <c r="DT2" s="45"/>
      <c r="DU2" s="45"/>
      <c r="DV2" s="45"/>
      <c r="DW2" s="45"/>
      <c r="DX2" s="45"/>
      <c r="DY2" s="45"/>
      <c r="DZ2" s="45"/>
      <c r="EA2" s="45"/>
      <c r="EB2" s="45"/>
      <c r="EC2" s="45"/>
      <c r="ED2" s="45"/>
      <c r="EE2" s="45"/>
      <c r="EF2" s="45"/>
      <c r="EG2" s="45"/>
      <c r="EH2" s="45"/>
      <c r="EI2" s="45"/>
      <c r="EJ2" s="45"/>
      <c r="EK2" s="45"/>
      <c r="EL2" s="45"/>
      <c r="EM2" s="45"/>
      <c r="EN2" s="45"/>
      <c r="EO2" s="45"/>
      <c r="EP2" s="45"/>
      <c r="EQ2" s="45"/>
      <c r="ER2" s="45"/>
      <c r="ES2" s="45"/>
      <c r="ET2" s="45"/>
      <c r="EU2" s="45"/>
      <c r="EV2" s="45"/>
      <c r="EW2" s="45"/>
      <c r="EX2" s="45"/>
      <c r="EY2" s="45"/>
      <c r="EZ2" s="45"/>
      <c r="FA2" s="45"/>
      <c r="FB2" s="45"/>
      <c r="FC2" s="45"/>
      <c r="FD2" s="45"/>
      <c r="FE2" s="45"/>
      <c r="FF2" s="45"/>
      <c r="FG2" s="45"/>
      <c r="FH2" s="45"/>
      <c r="FI2" s="45"/>
      <c r="FJ2" s="45"/>
      <c r="FK2" s="45"/>
      <c r="FL2" s="45"/>
      <c r="FM2" s="45"/>
      <c r="FN2" s="45"/>
      <c r="FO2" s="45"/>
      <c r="FP2" s="45"/>
      <c r="FQ2" s="45"/>
      <c r="FR2" s="45"/>
      <c r="FS2" s="45"/>
      <c r="FT2" s="45"/>
      <c r="FU2" s="45"/>
      <c r="FV2" s="45"/>
      <c r="FW2" s="45"/>
      <c r="FX2" s="45"/>
      <c r="FY2" s="45"/>
      <c r="FZ2" s="45"/>
      <c r="GA2" s="45"/>
      <c r="GB2" s="45"/>
      <c r="GC2" s="45"/>
      <c r="GD2" s="45"/>
      <c r="GE2" s="45"/>
      <c r="GF2" s="45"/>
      <c r="GG2" s="45"/>
      <c r="GH2" s="45"/>
      <c r="GI2" s="45"/>
      <c r="GJ2" s="45"/>
      <c r="GK2" s="45"/>
      <c r="GL2" s="45"/>
      <c r="GM2" s="45"/>
      <c r="GN2" s="45"/>
      <c r="GO2" s="45"/>
      <c r="GP2" s="45"/>
      <c r="GQ2" s="45"/>
      <c r="GR2" s="45"/>
      <c r="GS2" s="45"/>
      <c r="GT2" s="45"/>
      <c r="GU2" s="45"/>
      <c r="GV2" s="45"/>
      <c r="GW2" s="45"/>
      <c r="GX2" s="45"/>
      <c r="GY2" s="45"/>
      <c r="GZ2" s="45"/>
      <c r="HA2" s="45"/>
      <c r="HB2" s="45"/>
      <c r="HC2" s="45"/>
      <c r="HD2" s="45"/>
      <c r="HE2" s="45"/>
      <c r="HF2" s="45"/>
      <c r="HG2" s="45"/>
      <c r="HH2" s="45"/>
      <c r="HI2" s="45"/>
      <c r="HJ2" s="45"/>
      <c r="HK2" s="45"/>
      <c r="HL2" s="45"/>
      <c r="HM2" s="45"/>
      <c r="HN2" s="45"/>
      <c r="HO2" s="45"/>
      <c r="HP2" s="45"/>
      <c r="HQ2" s="45"/>
      <c r="HR2" s="45"/>
      <c r="HS2" s="45"/>
      <c r="HT2" s="45"/>
      <c r="HU2" s="45"/>
      <c r="HV2" s="45"/>
      <c r="HW2" s="45"/>
      <c r="HX2" s="45"/>
      <c r="HY2" s="45"/>
      <c r="HZ2" s="45"/>
      <c r="IA2" s="45"/>
      <c r="IB2" s="45"/>
      <c r="IC2" s="45"/>
      <c r="ID2" s="45"/>
      <c r="IE2" s="45"/>
      <c r="IF2" s="45"/>
      <c r="IG2" s="45"/>
      <c r="IH2" s="45"/>
      <c r="II2" s="45"/>
      <c r="IJ2" s="45"/>
      <c r="IK2" s="45"/>
      <c r="IL2" s="45"/>
      <c r="IM2" s="45"/>
      <c r="IN2" s="45"/>
      <c r="IO2" s="45"/>
      <c r="IP2" s="45"/>
      <c r="IQ2" s="45"/>
    </row>
    <row r="4" spans="1:251" s="43" customFormat="1">
      <c r="A4" s="48" t="s">
        <v>145</v>
      </c>
      <c r="B4" s="49">
        <v>41095129.259999998</v>
      </c>
      <c r="C4" s="50"/>
      <c r="D4" s="49">
        <v>170376.85</v>
      </c>
      <c r="E4" s="49"/>
      <c r="F4" s="49">
        <v>4392060</v>
      </c>
      <c r="G4" s="49"/>
      <c r="H4" s="49">
        <v>-580383.78</v>
      </c>
      <c r="I4" s="49"/>
      <c r="J4" s="49">
        <v>45077182.329999998</v>
      </c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5"/>
      <c r="CI4" s="45"/>
      <c r="CJ4" s="45"/>
      <c r="CK4" s="45"/>
      <c r="CL4" s="45"/>
      <c r="CM4" s="45"/>
      <c r="CN4" s="45"/>
      <c r="CO4" s="45"/>
      <c r="CP4" s="45"/>
      <c r="CQ4" s="45"/>
      <c r="CR4" s="45"/>
      <c r="CS4" s="45"/>
      <c r="CT4" s="45"/>
      <c r="CU4" s="45"/>
      <c r="CV4" s="45"/>
      <c r="CW4" s="45"/>
      <c r="CX4" s="45"/>
      <c r="CY4" s="45"/>
      <c r="CZ4" s="45"/>
      <c r="DA4" s="45"/>
      <c r="DB4" s="45"/>
      <c r="DC4" s="45"/>
      <c r="DD4" s="45"/>
      <c r="DE4" s="45"/>
      <c r="DF4" s="45"/>
      <c r="DG4" s="45"/>
      <c r="DH4" s="45"/>
      <c r="DI4" s="45"/>
      <c r="DJ4" s="45"/>
      <c r="DK4" s="45"/>
      <c r="DL4" s="45"/>
      <c r="DM4" s="45"/>
      <c r="DN4" s="45"/>
      <c r="DO4" s="45"/>
      <c r="DP4" s="45"/>
      <c r="DQ4" s="45"/>
      <c r="DR4" s="45"/>
      <c r="DS4" s="45"/>
      <c r="DT4" s="45"/>
      <c r="DU4" s="45"/>
      <c r="DV4" s="45"/>
      <c r="DW4" s="45"/>
      <c r="DX4" s="45"/>
      <c r="DY4" s="45"/>
      <c r="DZ4" s="45"/>
      <c r="EA4" s="45"/>
      <c r="EB4" s="45"/>
      <c r="EC4" s="45"/>
      <c r="ED4" s="45"/>
      <c r="EE4" s="45"/>
      <c r="EF4" s="45"/>
      <c r="EG4" s="45"/>
      <c r="EH4" s="45"/>
      <c r="EI4" s="45"/>
      <c r="EJ4" s="45"/>
      <c r="EK4" s="45"/>
      <c r="EL4" s="45"/>
      <c r="EM4" s="45"/>
      <c r="EN4" s="45"/>
      <c r="EO4" s="45"/>
      <c r="EP4" s="45"/>
      <c r="EQ4" s="45"/>
      <c r="ER4" s="45"/>
      <c r="ES4" s="45"/>
      <c r="ET4" s="45"/>
      <c r="EU4" s="45"/>
      <c r="EV4" s="45"/>
      <c r="EW4" s="45"/>
      <c r="EX4" s="45"/>
      <c r="EY4" s="45"/>
      <c r="EZ4" s="45"/>
      <c r="FA4" s="45"/>
      <c r="FB4" s="45"/>
      <c r="FC4" s="45"/>
      <c r="FD4" s="45"/>
      <c r="FE4" s="45"/>
      <c r="FF4" s="45"/>
      <c r="FG4" s="45"/>
      <c r="FH4" s="45"/>
      <c r="FI4" s="45"/>
      <c r="FJ4" s="45"/>
      <c r="FK4" s="45"/>
      <c r="FL4" s="45"/>
      <c r="FM4" s="45"/>
      <c r="FN4" s="45"/>
      <c r="FO4" s="45"/>
      <c r="FP4" s="45"/>
      <c r="FQ4" s="45"/>
      <c r="FR4" s="45"/>
      <c r="FS4" s="45"/>
      <c r="FT4" s="45"/>
      <c r="FU4" s="45"/>
      <c r="FV4" s="45"/>
      <c r="FW4" s="45"/>
      <c r="FX4" s="45"/>
      <c r="FY4" s="45"/>
      <c r="FZ4" s="45"/>
      <c r="GA4" s="45"/>
      <c r="GB4" s="45"/>
      <c r="GC4" s="45"/>
      <c r="GD4" s="45"/>
      <c r="GE4" s="45"/>
      <c r="GF4" s="45"/>
      <c r="GG4" s="45"/>
      <c r="GH4" s="45"/>
      <c r="GI4" s="45"/>
      <c r="GJ4" s="45"/>
      <c r="GK4" s="45"/>
      <c r="GL4" s="45"/>
      <c r="GM4" s="45"/>
      <c r="GN4" s="45"/>
      <c r="GO4" s="45"/>
      <c r="GP4" s="45"/>
      <c r="GQ4" s="45"/>
      <c r="GR4" s="45"/>
      <c r="GS4" s="45"/>
      <c r="GT4" s="45"/>
      <c r="GU4" s="45"/>
      <c r="GV4" s="45"/>
      <c r="GW4" s="45"/>
      <c r="GX4" s="45"/>
      <c r="GY4" s="45"/>
      <c r="GZ4" s="45"/>
      <c r="HA4" s="45"/>
      <c r="HB4" s="45"/>
      <c r="HC4" s="45"/>
      <c r="HD4" s="45"/>
      <c r="HE4" s="45"/>
      <c r="HF4" s="45"/>
      <c r="HG4" s="45"/>
      <c r="HH4" s="45"/>
      <c r="HI4" s="45"/>
      <c r="HJ4" s="45"/>
      <c r="HK4" s="45"/>
      <c r="HL4" s="45"/>
      <c r="HM4" s="45"/>
      <c r="HN4" s="45"/>
      <c r="HO4" s="45"/>
      <c r="HP4" s="45"/>
      <c r="HQ4" s="45"/>
      <c r="HR4" s="45"/>
      <c r="HS4" s="45"/>
      <c r="HT4" s="45"/>
      <c r="HU4" s="45"/>
      <c r="HV4" s="45"/>
      <c r="HW4" s="45"/>
      <c r="HX4" s="45"/>
      <c r="HY4" s="45"/>
      <c r="HZ4" s="45"/>
      <c r="IA4" s="45"/>
      <c r="IB4" s="45"/>
      <c r="IC4" s="45"/>
      <c r="ID4" s="45"/>
      <c r="IE4" s="45"/>
      <c r="IF4" s="45"/>
      <c r="IG4" s="45"/>
      <c r="IH4" s="45"/>
      <c r="II4" s="45"/>
      <c r="IJ4" s="45"/>
      <c r="IK4" s="45"/>
      <c r="IL4" s="45"/>
      <c r="IM4" s="45"/>
      <c r="IN4" s="45"/>
      <c r="IO4" s="45"/>
      <c r="IP4" s="45"/>
      <c r="IQ4" s="45"/>
    </row>
    <row r="5" spans="1:251" s="43" customFormat="1">
      <c r="A5" s="51" t="s">
        <v>146</v>
      </c>
      <c r="B5" s="43">
        <v>41080795.859999999</v>
      </c>
      <c r="C5" s="52"/>
      <c r="D5" s="43">
        <v>170376.85</v>
      </c>
      <c r="F5" s="43">
        <v>3699664.6399999997</v>
      </c>
      <c r="H5" s="43">
        <v>0</v>
      </c>
      <c r="J5" s="43">
        <v>44950837.350000001</v>
      </c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5"/>
      <c r="DM5" s="45"/>
      <c r="DN5" s="45"/>
      <c r="DO5" s="45"/>
      <c r="DP5" s="45"/>
      <c r="DQ5" s="45"/>
      <c r="DR5" s="45"/>
      <c r="DS5" s="45"/>
      <c r="DT5" s="45"/>
      <c r="DU5" s="45"/>
      <c r="DV5" s="45"/>
      <c r="DW5" s="45"/>
      <c r="DX5" s="45"/>
      <c r="DY5" s="45"/>
      <c r="DZ5" s="45"/>
      <c r="EA5" s="45"/>
      <c r="EB5" s="45"/>
      <c r="EC5" s="45"/>
      <c r="ED5" s="45"/>
      <c r="EE5" s="45"/>
      <c r="EF5" s="45"/>
      <c r="EG5" s="45"/>
      <c r="EH5" s="45"/>
      <c r="EI5" s="45"/>
      <c r="EJ5" s="45"/>
      <c r="EK5" s="45"/>
      <c r="EL5" s="45"/>
      <c r="EM5" s="45"/>
      <c r="EN5" s="45"/>
      <c r="EO5" s="45"/>
      <c r="EP5" s="45"/>
      <c r="EQ5" s="45"/>
      <c r="ER5" s="45"/>
      <c r="ES5" s="45"/>
      <c r="ET5" s="45"/>
      <c r="EU5" s="45"/>
      <c r="EV5" s="45"/>
      <c r="EW5" s="45"/>
      <c r="EX5" s="45"/>
      <c r="EY5" s="45"/>
      <c r="EZ5" s="45"/>
      <c r="FA5" s="45"/>
      <c r="FB5" s="45"/>
      <c r="FC5" s="45"/>
      <c r="FD5" s="45"/>
      <c r="FE5" s="45"/>
      <c r="FF5" s="45"/>
      <c r="FG5" s="45"/>
      <c r="FH5" s="45"/>
      <c r="FI5" s="45"/>
      <c r="FJ5" s="45"/>
      <c r="FK5" s="45"/>
      <c r="FL5" s="45"/>
      <c r="FM5" s="45"/>
      <c r="FN5" s="45"/>
      <c r="FO5" s="45"/>
      <c r="FP5" s="45"/>
      <c r="FQ5" s="45"/>
      <c r="FR5" s="45"/>
      <c r="FS5" s="45"/>
      <c r="FT5" s="45"/>
      <c r="FU5" s="45"/>
      <c r="FV5" s="45"/>
      <c r="FW5" s="45"/>
      <c r="FX5" s="45"/>
      <c r="FY5" s="45"/>
      <c r="FZ5" s="45"/>
      <c r="GA5" s="45"/>
      <c r="GB5" s="45"/>
      <c r="GC5" s="45"/>
      <c r="GD5" s="45"/>
      <c r="GE5" s="45"/>
      <c r="GF5" s="45"/>
      <c r="GG5" s="45"/>
      <c r="GH5" s="45"/>
      <c r="GI5" s="45"/>
      <c r="GJ5" s="45"/>
      <c r="GK5" s="45"/>
      <c r="GL5" s="45"/>
      <c r="GM5" s="45"/>
      <c r="GN5" s="45"/>
      <c r="GO5" s="45"/>
      <c r="GP5" s="45"/>
      <c r="GQ5" s="45"/>
      <c r="GR5" s="45"/>
      <c r="GS5" s="45"/>
      <c r="GT5" s="45"/>
      <c r="GU5" s="45"/>
      <c r="GV5" s="45"/>
      <c r="GW5" s="45"/>
      <c r="GX5" s="45"/>
      <c r="GY5" s="45"/>
      <c r="GZ5" s="45"/>
      <c r="HA5" s="45"/>
      <c r="HB5" s="45"/>
      <c r="HC5" s="45"/>
      <c r="HD5" s="45"/>
      <c r="HE5" s="45"/>
      <c r="HF5" s="45"/>
      <c r="HG5" s="45"/>
      <c r="HH5" s="45"/>
      <c r="HI5" s="45"/>
      <c r="HJ5" s="45"/>
      <c r="HK5" s="45"/>
      <c r="HL5" s="45"/>
      <c r="HM5" s="45"/>
      <c r="HN5" s="45"/>
      <c r="HO5" s="45"/>
      <c r="HP5" s="45"/>
      <c r="HQ5" s="45"/>
      <c r="HR5" s="45"/>
      <c r="HS5" s="45"/>
      <c r="HT5" s="45"/>
      <c r="HU5" s="45"/>
      <c r="HV5" s="45"/>
      <c r="HW5" s="45"/>
      <c r="HX5" s="45"/>
      <c r="HY5" s="45"/>
      <c r="HZ5" s="45"/>
      <c r="IA5" s="45"/>
      <c r="IB5" s="45"/>
      <c r="IC5" s="45"/>
      <c r="ID5" s="45"/>
      <c r="IE5" s="45"/>
      <c r="IF5" s="45"/>
      <c r="IG5" s="45"/>
      <c r="IH5" s="45"/>
      <c r="II5" s="45"/>
      <c r="IJ5" s="45"/>
      <c r="IK5" s="45"/>
      <c r="IL5" s="45"/>
      <c r="IM5" s="45"/>
      <c r="IN5" s="45"/>
      <c r="IO5" s="45"/>
      <c r="IP5" s="45"/>
      <c r="IQ5" s="45"/>
    </row>
    <row r="6" spans="1:251" s="43" customFormat="1">
      <c r="A6" s="51" t="s">
        <v>147</v>
      </c>
      <c r="B6" s="43">
        <v>14333.4</v>
      </c>
      <c r="C6" s="52"/>
      <c r="D6" s="43">
        <v>0</v>
      </c>
      <c r="F6" s="43">
        <v>112011.58</v>
      </c>
      <c r="H6" s="43">
        <v>0</v>
      </c>
      <c r="J6" s="43">
        <v>126344.98</v>
      </c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45"/>
      <c r="BK6" s="45"/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45"/>
      <c r="BW6" s="45"/>
      <c r="BX6" s="45"/>
      <c r="BY6" s="45"/>
      <c r="BZ6" s="45"/>
      <c r="CA6" s="45"/>
      <c r="CB6" s="45"/>
      <c r="CC6" s="45"/>
      <c r="CD6" s="45"/>
      <c r="CE6" s="45"/>
      <c r="CF6" s="45"/>
      <c r="CG6" s="45"/>
      <c r="CH6" s="45"/>
      <c r="CI6" s="45"/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5"/>
      <c r="CU6" s="45"/>
      <c r="CV6" s="45"/>
      <c r="CW6" s="45"/>
      <c r="CX6" s="45"/>
      <c r="CY6" s="45"/>
      <c r="CZ6" s="45"/>
      <c r="DA6" s="45"/>
      <c r="DB6" s="45"/>
      <c r="DC6" s="45"/>
      <c r="DD6" s="45"/>
      <c r="DE6" s="45"/>
      <c r="DF6" s="45"/>
      <c r="DG6" s="45"/>
      <c r="DH6" s="45"/>
      <c r="DI6" s="45"/>
      <c r="DJ6" s="45"/>
      <c r="DK6" s="45"/>
      <c r="DL6" s="45"/>
      <c r="DM6" s="45"/>
      <c r="DN6" s="45"/>
      <c r="DO6" s="45"/>
      <c r="DP6" s="45"/>
      <c r="DQ6" s="45"/>
      <c r="DR6" s="45"/>
      <c r="DS6" s="45"/>
      <c r="DT6" s="45"/>
      <c r="DU6" s="45"/>
      <c r="DV6" s="45"/>
      <c r="DW6" s="45"/>
      <c r="DX6" s="45"/>
      <c r="DY6" s="45"/>
      <c r="DZ6" s="45"/>
      <c r="EA6" s="45"/>
      <c r="EB6" s="45"/>
      <c r="EC6" s="45"/>
      <c r="ED6" s="45"/>
      <c r="EE6" s="45"/>
      <c r="EF6" s="45"/>
      <c r="EG6" s="45"/>
      <c r="EH6" s="45"/>
      <c r="EI6" s="45"/>
      <c r="EJ6" s="45"/>
      <c r="EK6" s="45"/>
      <c r="EL6" s="45"/>
      <c r="EM6" s="45"/>
      <c r="EN6" s="45"/>
      <c r="EO6" s="45"/>
      <c r="EP6" s="45"/>
      <c r="EQ6" s="45"/>
      <c r="ER6" s="45"/>
      <c r="ES6" s="45"/>
      <c r="ET6" s="45"/>
      <c r="EU6" s="45"/>
      <c r="EV6" s="45"/>
      <c r="EW6" s="45"/>
      <c r="EX6" s="45"/>
      <c r="EY6" s="45"/>
      <c r="EZ6" s="45"/>
      <c r="FA6" s="45"/>
      <c r="FB6" s="45"/>
      <c r="FC6" s="45"/>
      <c r="FD6" s="45"/>
      <c r="FE6" s="45"/>
      <c r="FF6" s="45"/>
      <c r="FG6" s="45"/>
      <c r="FH6" s="45"/>
      <c r="FI6" s="45"/>
      <c r="FJ6" s="45"/>
      <c r="FK6" s="45"/>
      <c r="FL6" s="45"/>
      <c r="FM6" s="45"/>
      <c r="FN6" s="45"/>
      <c r="FO6" s="45"/>
      <c r="FP6" s="45"/>
      <c r="FQ6" s="45"/>
      <c r="FR6" s="45"/>
      <c r="FS6" s="45"/>
      <c r="FT6" s="45"/>
      <c r="FU6" s="45"/>
      <c r="FV6" s="45"/>
      <c r="FW6" s="45"/>
      <c r="FX6" s="45"/>
      <c r="FY6" s="45"/>
      <c r="FZ6" s="45"/>
      <c r="GA6" s="45"/>
      <c r="GB6" s="45"/>
      <c r="GC6" s="45"/>
      <c r="GD6" s="45"/>
      <c r="GE6" s="45"/>
      <c r="GF6" s="45"/>
      <c r="GG6" s="45"/>
      <c r="GH6" s="45"/>
      <c r="GI6" s="45"/>
      <c r="GJ6" s="45"/>
      <c r="GK6" s="45"/>
      <c r="GL6" s="45"/>
      <c r="GM6" s="45"/>
      <c r="GN6" s="45"/>
      <c r="GO6" s="45"/>
      <c r="GP6" s="45"/>
      <c r="GQ6" s="45"/>
      <c r="GR6" s="45"/>
      <c r="GS6" s="45"/>
      <c r="GT6" s="45"/>
      <c r="GU6" s="45"/>
      <c r="GV6" s="45"/>
      <c r="GW6" s="45"/>
      <c r="GX6" s="45"/>
      <c r="GY6" s="45"/>
      <c r="GZ6" s="45"/>
      <c r="HA6" s="45"/>
      <c r="HB6" s="45"/>
      <c r="HC6" s="45"/>
      <c r="HD6" s="45"/>
      <c r="HE6" s="45"/>
      <c r="HF6" s="45"/>
      <c r="HG6" s="45"/>
      <c r="HH6" s="45"/>
      <c r="HI6" s="45"/>
      <c r="HJ6" s="45"/>
      <c r="HK6" s="45"/>
      <c r="HL6" s="45"/>
      <c r="HM6" s="45"/>
      <c r="HN6" s="45"/>
      <c r="HO6" s="45"/>
      <c r="HP6" s="45"/>
      <c r="HQ6" s="45"/>
      <c r="HR6" s="45"/>
      <c r="HS6" s="45"/>
      <c r="HT6" s="45"/>
      <c r="HU6" s="45"/>
      <c r="HV6" s="45"/>
      <c r="HW6" s="45"/>
      <c r="HX6" s="45"/>
      <c r="HY6" s="45"/>
      <c r="HZ6" s="45"/>
      <c r="IA6" s="45"/>
      <c r="IB6" s="45"/>
      <c r="IC6" s="45"/>
      <c r="ID6" s="45"/>
      <c r="IE6" s="45"/>
      <c r="IF6" s="45"/>
      <c r="IG6" s="45"/>
      <c r="IH6" s="45"/>
      <c r="II6" s="45"/>
      <c r="IJ6" s="45"/>
      <c r="IK6" s="45"/>
      <c r="IL6" s="45"/>
      <c r="IM6" s="45"/>
      <c r="IN6" s="45"/>
      <c r="IO6" s="45"/>
      <c r="IP6" s="45"/>
      <c r="IQ6" s="45"/>
    </row>
    <row r="7" spans="1:251" s="43" customFormat="1">
      <c r="A7" s="51" t="s">
        <v>148</v>
      </c>
      <c r="B7" s="43">
        <v>0</v>
      </c>
      <c r="C7" s="52"/>
      <c r="D7" s="43">
        <v>0</v>
      </c>
      <c r="F7" s="43">
        <v>580383.78</v>
      </c>
      <c r="H7" s="43">
        <v>-580383.78</v>
      </c>
      <c r="J7" s="43">
        <v>0</v>
      </c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45"/>
      <c r="BC7" s="45"/>
      <c r="BD7" s="45"/>
      <c r="BE7" s="45"/>
      <c r="BF7" s="45"/>
      <c r="BG7" s="45"/>
      <c r="BH7" s="45"/>
      <c r="BI7" s="45"/>
      <c r="BJ7" s="45"/>
      <c r="BK7" s="45"/>
      <c r="BL7" s="45"/>
      <c r="BM7" s="45"/>
      <c r="BN7" s="45"/>
      <c r="BO7" s="45"/>
      <c r="BP7" s="45"/>
      <c r="BQ7" s="45"/>
      <c r="BR7" s="45"/>
      <c r="BS7" s="45"/>
      <c r="BT7" s="45"/>
      <c r="BU7" s="45"/>
      <c r="BV7" s="45"/>
      <c r="BW7" s="45"/>
      <c r="BX7" s="45"/>
      <c r="BY7" s="45"/>
      <c r="BZ7" s="45"/>
      <c r="CA7" s="45"/>
      <c r="CB7" s="45"/>
      <c r="CC7" s="45"/>
      <c r="CD7" s="45"/>
      <c r="CE7" s="45"/>
      <c r="CF7" s="45"/>
      <c r="CG7" s="45"/>
      <c r="CH7" s="45"/>
      <c r="CI7" s="45"/>
      <c r="CJ7" s="45"/>
      <c r="CK7" s="45"/>
      <c r="CL7" s="45"/>
      <c r="CM7" s="45"/>
      <c r="CN7" s="45"/>
      <c r="CO7" s="45"/>
      <c r="CP7" s="45"/>
      <c r="CQ7" s="45"/>
      <c r="CR7" s="45"/>
      <c r="CS7" s="45"/>
      <c r="CT7" s="45"/>
      <c r="CU7" s="45"/>
      <c r="CV7" s="45"/>
      <c r="CW7" s="45"/>
      <c r="CX7" s="45"/>
      <c r="CY7" s="45"/>
      <c r="CZ7" s="45"/>
      <c r="DA7" s="45"/>
      <c r="DB7" s="45"/>
      <c r="DC7" s="45"/>
      <c r="DD7" s="45"/>
      <c r="DE7" s="45"/>
      <c r="DF7" s="45"/>
      <c r="DG7" s="45"/>
      <c r="DH7" s="45"/>
      <c r="DI7" s="45"/>
      <c r="DJ7" s="45"/>
      <c r="DK7" s="45"/>
      <c r="DL7" s="45"/>
      <c r="DM7" s="45"/>
      <c r="DN7" s="45"/>
      <c r="DO7" s="45"/>
      <c r="DP7" s="45"/>
      <c r="DQ7" s="45"/>
      <c r="DR7" s="45"/>
      <c r="DS7" s="45"/>
      <c r="DT7" s="45"/>
      <c r="DU7" s="45"/>
      <c r="DV7" s="45"/>
      <c r="DW7" s="45"/>
      <c r="DX7" s="45"/>
      <c r="DY7" s="45"/>
      <c r="DZ7" s="45"/>
      <c r="EA7" s="45"/>
      <c r="EB7" s="45"/>
      <c r="EC7" s="45"/>
      <c r="ED7" s="45"/>
      <c r="EE7" s="45"/>
      <c r="EF7" s="45"/>
      <c r="EG7" s="45"/>
      <c r="EH7" s="45"/>
      <c r="EI7" s="45"/>
      <c r="EJ7" s="45"/>
      <c r="EK7" s="45"/>
      <c r="EL7" s="45"/>
      <c r="EM7" s="45"/>
      <c r="EN7" s="45"/>
      <c r="EO7" s="45"/>
      <c r="EP7" s="45"/>
      <c r="EQ7" s="45"/>
      <c r="ER7" s="45"/>
      <c r="ES7" s="45"/>
      <c r="ET7" s="45"/>
      <c r="EU7" s="45"/>
      <c r="EV7" s="45"/>
      <c r="EW7" s="45"/>
      <c r="EX7" s="45"/>
      <c r="EY7" s="45"/>
      <c r="EZ7" s="45"/>
      <c r="FA7" s="45"/>
      <c r="FB7" s="45"/>
      <c r="FC7" s="45"/>
      <c r="FD7" s="45"/>
      <c r="FE7" s="45"/>
      <c r="FF7" s="45"/>
      <c r="FG7" s="45"/>
      <c r="FH7" s="45"/>
      <c r="FI7" s="45"/>
      <c r="FJ7" s="45"/>
      <c r="FK7" s="45"/>
      <c r="FL7" s="45"/>
      <c r="FM7" s="45"/>
      <c r="FN7" s="45"/>
      <c r="FO7" s="45"/>
      <c r="FP7" s="45"/>
      <c r="FQ7" s="45"/>
      <c r="FR7" s="45"/>
      <c r="FS7" s="45"/>
      <c r="FT7" s="45"/>
      <c r="FU7" s="45"/>
      <c r="FV7" s="45"/>
      <c r="FW7" s="45"/>
      <c r="FX7" s="45"/>
      <c r="FY7" s="45"/>
      <c r="FZ7" s="45"/>
      <c r="GA7" s="45"/>
      <c r="GB7" s="45"/>
      <c r="GC7" s="45"/>
      <c r="GD7" s="45"/>
      <c r="GE7" s="45"/>
      <c r="GF7" s="45"/>
      <c r="GG7" s="45"/>
      <c r="GH7" s="45"/>
      <c r="GI7" s="45"/>
      <c r="GJ7" s="45"/>
      <c r="GK7" s="45"/>
      <c r="GL7" s="45"/>
      <c r="GM7" s="45"/>
      <c r="GN7" s="45"/>
      <c r="GO7" s="45"/>
      <c r="GP7" s="45"/>
      <c r="GQ7" s="45"/>
      <c r="GR7" s="45"/>
      <c r="GS7" s="45"/>
      <c r="GT7" s="45"/>
      <c r="GU7" s="45"/>
      <c r="GV7" s="45"/>
      <c r="GW7" s="45"/>
      <c r="GX7" s="45"/>
      <c r="GY7" s="45"/>
      <c r="GZ7" s="45"/>
      <c r="HA7" s="45"/>
      <c r="HB7" s="45"/>
      <c r="HC7" s="45"/>
      <c r="HD7" s="45"/>
      <c r="HE7" s="45"/>
      <c r="HF7" s="45"/>
      <c r="HG7" s="45"/>
      <c r="HH7" s="45"/>
      <c r="HI7" s="45"/>
      <c r="HJ7" s="45"/>
      <c r="HK7" s="45"/>
      <c r="HL7" s="45"/>
      <c r="HM7" s="45"/>
      <c r="HN7" s="45"/>
      <c r="HO7" s="45"/>
      <c r="HP7" s="45"/>
      <c r="HQ7" s="45"/>
      <c r="HR7" s="45"/>
      <c r="HS7" s="45"/>
      <c r="HT7" s="45"/>
      <c r="HU7" s="45"/>
      <c r="HV7" s="45"/>
      <c r="HW7" s="45"/>
      <c r="HX7" s="45"/>
      <c r="HY7" s="45"/>
      <c r="HZ7" s="45"/>
      <c r="IA7" s="45"/>
      <c r="IB7" s="45"/>
      <c r="IC7" s="45"/>
      <c r="ID7" s="45"/>
      <c r="IE7" s="45"/>
      <c r="IF7" s="45"/>
      <c r="IG7" s="45"/>
      <c r="IH7" s="45"/>
      <c r="II7" s="45"/>
      <c r="IJ7" s="45"/>
      <c r="IK7" s="45"/>
      <c r="IL7" s="45"/>
      <c r="IM7" s="45"/>
      <c r="IN7" s="45"/>
      <c r="IO7" s="45"/>
      <c r="IP7" s="45"/>
      <c r="IQ7" s="45"/>
    </row>
    <row r="8" spans="1:251" s="43" customFormat="1">
      <c r="A8" s="45"/>
      <c r="C8" s="44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  <c r="AP8" s="45"/>
      <c r="AQ8" s="45"/>
      <c r="AR8" s="45"/>
      <c r="AS8" s="45"/>
      <c r="AT8" s="45"/>
      <c r="AU8" s="45"/>
      <c r="AV8" s="45"/>
      <c r="AW8" s="45"/>
      <c r="AX8" s="45"/>
      <c r="AY8" s="45"/>
      <c r="AZ8" s="45"/>
      <c r="BA8" s="45"/>
      <c r="BB8" s="45"/>
      <c r="BC8" s="45"/>
      <c r="BD8" s="45"/>
      <c r="BE8" s="45"/>
      <c r="BF8" s="45"/>
      <c r="BG8" s="45"/>
      <c r="BH8" s="45"/>
      <c r="BI8" s="45"/>
      <c r="BJ8" s="45"/>
      <c r="BK8" s="45"/>
      <c r="BL8" s="45"/>
      <c r="BM8" s="45"/>
      <c r="BN8" s="45"/>
      <c r="BO8" s="45"/>
      <c r="BP8" s="45"/>
      <c r="BQ8" s="45"/>
      <c r="BR8" s="45"/>
      <c r="BS8" s="45"/>
      <c r="BT8" s="45"/>
      <c r="BU8" s="45"/>
      <c r="BV8" s="45"/>
      <c r="BW8" s="45"/>
      <c r="BX8" s="45"/>
      <c r="BY8" s="45"/>
      <c r="BZ8" s="45"/>
      <c r="CA8" s="45"/>
      <c r="CB8" s="45"/>
      <c r="CC8" s="45"/>
      <c r="CD8" s="45"/>
      <c r="CE8" s="45"/>
      <c r="CF8" s="45"/>
      <c r="CG8" s="45"/>
      <c r="CH8" s="45"/>
      <c r="CI8" s="45"/>
      <c r="CJ8" s="45"/>
      <c r="CK8" s="45"/>
      <c r="CL8" s="45"/>
      <c r="CM8" s="45"/>
      <c r="CN8" s="45"/>
      <c r="CO8" s="45"/>
      <c r="CP8" s="45"/>
      <c r="CQ8" s="45"/>
      <c r="CR8" s="45"/>
      <c r="CS8" s="45"/>
      <c r="CT8" s="45"/>
      <c r="CU8" s="45"/>
      <c r="CV8" s="45"/>
      <c r="CW8" s="45"/>
      <c r="CX8" s="45"/>
      <c r="CY8" s="45"/>
      <c r="CZ8" s="45"/>
      <c r="DA8" s="45"/>
      <c r="DB8" s="45"/>
      <c r="DC8" s="45"/>
      <c r="DD8" s="45"/>
      <c r="DE8" s="45"/>
      <c r="DF8" s="45"/>
      <c r="DG8" s="45"/>
      <c r="DH8" s="45"/>
      <c r="DI8" s="45"/>
      <c r="DJ8" s="45"/>
      <c r="DK8" s="45"/>
      <c r="DL8" s="45"/>
      <c r="DM8" s="45"/>
      <c r="DN8" s="45"/>
      <c r="DO8" s="45"/>
      <c r="DP8" s="45"/>
      <c r="DQ8" s="45"/>
      <c r="DR8" s="45"/>
      <c r="DS8" s="45"/>
      <c r="DT8" s="45"/>
      <c r="DU8" s="45"/>
      <c r="DV8" s="45"/>
      <c r="DW8" s="45"/>
      <c r="DX8" s="45"/>
      <c r="DY8" s="45"/>
      <c r="DZ8" s="45"/>
      <c r="EA8" s="45"/>
      <c r="EB8" s="45"/>
      <c r="EC8" s="45"/>
      <c r="ED8" s="45"/>
      <c r="EE8" s="45"/>
      <c r="EF8" s="45"/>
      <c r="EG8" s="45"/>
      <c r="EH8" s="45"/>
      <c r="EI8" s="45"/>
      <c r="EJ8" s="45"/>
      <c r="EK8" s="45"/>
      <c r="EL8" s="45"/>
      <c r="EM8" s="45"/>
      <c r="EN8" s="45"/>
      <c r="EO8" s="45"/>
      <c r="EP8" s="45"/>
      <c r="EQ8" s="45"/>
      <c r="ER8" s="45"/>
      <c r="ES8" s="45"/>
      <c r="ET8" s="45"/>
      <c r="EU8" s="45"/>
      <c r="EV8" s="45"/>
      <c r="EW8" s="45"/>
      <c r="EX8" s="45"/>
      <c r="EY8" s="45"/>
      <c r="EZ8" s="45"/>
      <c r="FA8" s="45"/>
      <c r="FB8" s="45"/>
      <c r="FC8" s="45"/>
      <c r="FD8" s="45"/>
      <c r="FE8" s="45"/>
      <c r="FF8" s="45"/>
      <c r="FG8" s="45"/>
      <c r="FH8" s="45"/>
      <c r="FI8" s="45"/>
      <c r="FJ8" s="45"/>
      <c r="FK8" s="45"/>
      <c r="FL8" s="45"/>
      <c r="FM8" s="45"/>
      <c r="FN8" s="45"/>
      <c r="FO8" s="45"/>
      <c r="FP8" s="45"/>
      <c r="FQ8" s="45"/>
      <c r="FR8" s="45"/>
      <c r="FS8" s="45"/>
      <c r="FT8" s="45"/>
      <c r="FU8" s="45"/>
      <c r="FV8" s="45"/>
      <c r="FW8" s="45"/>
      <c r="FX8" s="45"/>
      <c r="FY8" s="45"/>
      <c r="FZ8" s="45"/>
      <c r="GA8" s="45"/>
      <c r="GB8" s="45"/>
      <c r="GC8" s="45"/>
      <c r="GD8" s="45"/>
      <c r="GE8" s="45"/>
      <c r="GF8" s="45"/>
      <c r="GG8" s="45"/>
      <c r="GH8" s="45"/>
      <c r="GI8" s="45"/>
      <c r="GJ8" s="45"/>
      <c r="GK8" s="45"/>
      <c r="GL8" s="45"/>
      <c r="GM8" s="45"/>
      <c r="GN8" s="45"/>
      <c r="GO8" s="45"/>
      <c r="GP8" s="45"/>
      <c r="GQ8" s="45"/>
      <c r="GR8" s="45"/>
      <c r="GS8" s="45"/>
      <c r="GT8" s="45"/>
      <c r="GU8" s="45"/>
      <c r="GV8" s="45"/>
      <c r="GW8" s="45"/>
      <c r="GX8" s="45"/>
      <c r="GY8" s="45"/>
      <c r="GZ8" s="45"/>
      <c r="HA8" s="45"/>
      <c r="HB8" s="45"/>
      <c r="HC8" s="45"/>
      <c r="HD8" s="45"/>
      <c r="HE8" s="45"/>
      <c r="HF8" s="45"/>
      <c r="HG8" s="45"/>
      <c r="HH8" s="45"/>
      <c r="HI8" s="45"/>
      <c r="HJ8" s="45"/>
      <c r="HK8" s="45"/>
      <c r="HL8" s="45"/>
      <c r="HM8" s="45"/>
      <c r="HN8" s="45"/>
      <c r="HO8" s="45"/>
      <c r="HP8" s="45"/>
      <c r="HQ8" s="45"/>
      <c r="HR8" s="45"/>
      <c r="HS8" s="45"/>
      <c r="HT8" s="45"/>
      <c r="HU8" s="45"/>
      <c r="HV8" s="45"/>
      <c r="HW8" s="45"/>
      <c r="HX8" s="45"/>
      <c r="HY8" s="45"/>
      <c r="HZ8" s="45"/>
      <c r="IA8" s="45"/>
      <c r="IB8" s="45"/>
      <c r="IC8" s="45"/>
      <c r="ID8" s="45"/>
      <c r="IE8" s="45"/>
      <c r="IF8" s="45"/>
      <c r="IG8" s="45"/>
      <c r="IH8" s="45"/>
      <c r="II8" s="45"/>
      <c r="IJ8" s="45"/>
      <c r="IK8" s="45"/>
      <c r="IL8" s="45"/>
      <c r="IM8" s="45"/>
      <c r="IN8" s="45"/>
      <c r="IO8" s="45"/>
      <c r="IP8" s="45"/>
      <c r="IQ8" s="45"/>
    </row>
    <row r="9" spans="1:251" hidden="1" outlineLevel="1">
      <c r="A9" s="48" t="s">
        <v>149</v>
      </c>
      <c r="B9" s="49">
        <v>36599370.609999999</v>
      </c>
      <c r="C9" s="50"/>
      <c r="D9" s="49">
        <v>1623438.89</v>
      </c>
      <c r="E9" s="49"/>
      <c r="F9" s="49">
        <v>3444081.99</v>
      </c>
      <c r="G9" s="49"/>
      <c r="H9" s="49">
        <v>3924889.16</v>
      </c>
      <c r="I9" s="49"/>
      <c r="J9" s="49">
        <v>45591780.650000006</v>
      </c>
    </row>
    <row r="10" spans="1:251" hidden="1" outlineLevel="1">
      <c r="A10" s="59" t="s">
        <v>86</v>
      </c>
      <c r="B10" s="43">
        <v>4218652.76</v>
      </c>
      <c r="C10" s="43"/>
      <c r="D10" s="43">
        <v>186281.44</v>
      </c>
      <c r="F10" s="43">
        <v>109303.22</v>
      </c>
      <c r="H10" s="43">
        <v>0</v>
      </c>
      <c r="J10" s="43">
        <v>4514237.42</v>
      </c>
    </row>
    <row r="11" spans="1:251" hidden="1" outlineLevel="1">
      <c r="A11" s="59" t="s">
        <v>64</v>
      </c>
      <c r="B11" s="43">
        <v>28427650.350000001</v>
      </c>
      <c r="C11" s="43"/>
      <c r="D11" s="43">
        <v>0</v>
      </c>
      <c r="F11" s="43">
        <v>0</v>
      </c>
      <c r="H11" s="43">
        <v>0</v>
      </c>
      <c r="J11" s="43">
        <v>28427650.350000001</v>
      </c>
    </row>
    <row r="12" spans="1:251" hidden="1" outlineLevel="1">
      <c r="A12" s="59" t="s">
        <v>87</v>
      </c>
      <c r="B12" s="43">
        <v>3953067.5</v>
      </c>
      <c r="C12" s="43"/>
      <c r="D12" s="43">
        <v>1437157.45</v>
      </c>
      <c r="F12" s="43">
        <v>3334778.77</v>
      </c>
      <c r="H12" s="43">
        <v>-369753.83</v>
      </c>
      <c r="J12" s="43">
        <v>8355249.8900000006</v>
      </c>
    </row>
    <row r="13" spans="1:251" hidden="1" outlineLevel="1">
      <c r="A13" s="59" t="s">
        <v>88</v>
      </c>
      <c r="B13" s="43">
        <v>0</v>
      </c>
      <c r="C13" s="43"/>
      <c r="D13" s="43">
        <v>0</v>
      </c>
      <c r="F13" s="43">
        <v>0</v>
      </c>
      <c r="H13" s="43">
        <v>4244843.32</v>
      </c>
      <c r="J13" s="43">
        <v>4244843.32</v>
      </c>
    </row>
    <row r="14" spans="1:251" hidden="1" outlineLevel="1">
      <c r="A14" s="59" t="s">
        <v>63</v>
      </c>
      <c r="B14" s="43">
        <v>0</v>
      </c>
      <c r="C14" s="43"/>
      <c r="D14" s="43">
        <v>0</v>
      </c>
      <c r="F14" s="43">
        <v>0</v>
      </c>
      <c r="H14" s="43">
        <v>49799.67</v>
      </c>
      <c r="J14" s="43">
        <v>49799.67</v>
      </c>
    </row>
    <row r="15" spans="1:251" collapsed="1"/>
    <row r="16" spans="1:251" ht="11" thickBot="1">
      <c r="A16" s="48" t="s">
        <v>150</v>
      </c>
      <c r="B16" s="53">
        <v>4495758.6499999985</v>
      </c>
      <c r="C16" s="50"/>
      <c r="D16" s="53">
        <v>-1453062.0399999998</v>
      </c>
      <c r="E16" s="49"/>
      <c r="F16" s="53">
        <v>947978.00999999978</v>
      </c>
      <c r="G16" s="49"/>
      <c r="H16" s="53">
        <v>-4505272.9400000004</v>
      </c>
      <c r="I16" s="49"/>
      <c r="J16" s="53">
        <v>-514598.32000000775</v>
      </c>
    </row>
    <row r="17" spans="1:12">
      <c r="A17" s="45" t="s">
        <v>62</v>
      </c>
      <c r="B17" s="43">
        <v>-315564.32999999996</v>
      </c>
      <c r="C17" s="43"/>
      <c r="D17" s="43">
        <v>-159851.4</v>
      </c>
      <c r="F17" s="43">
        <v>-280804.40999999997</v>
      </c>
      <c r="H17" s="43">
        <v>-294827</v>
      </c>
      <c r="J17" s="43">
        <v>-1051047.1399999999</v>
      </c>
    </row>
    <row r="18" spans="1:12">
      <c r="A18" s="56" t="s">
        <v>156</v>
      </c>
      <c r="B18" s="57">
        <f>B16/B4</f>
        <v>0.109398820029408</v>
      </c>
      <c r="D18" s="57">
        <f>D16/D4</f>
        <v>-8.5285180469060187</v>
      </c>
      <c r="E18" s="57"/>
      <c r="F18" s="57">
        <f>F16/F4</f>
        <v>0.21583903908416546</v>
      </c>
      <c r="J18" s="57">
        <f>J16/J4</f>
        <v>-1.1415938028973244E-2</v>
      </c>
      <c r="L18" s="57"/>
    </row>
    <row r="19" spans="1:12" ht="11" thickBot="1">
      <c r="A19" s="48" t="s">
        <v>151</v>
      </c>
      <c r="B19" s="53">
        <v>4811322.9799999986</v>
      </c>
      <c r="C19" s="54"/>
      <c r="D19" s="53">
        <v>-1293210.6399999999</v>
      </c>
      <c r="E19" s="49"/>
      <c r="F19" s="53">
        <v>1228782.4199999997</v>
      </c>
      <c r="G19" s="49"/>
      <c r="H19" s="53">
        <v>-4210445.9400000004</v>
      </c>
      <c r="I19" s="49"/>
      <c r="J19" s="53">
        <v>536448.81999999215</v>
      </c>
    </row>
    <row r="20" spans="1:12">
      <c r="A20" s="56" t="s">
        <v>157</v>
      </c>
      <c r="B20" s="57">
        <f>B19/B4</f>
        <v>0.11707769428244887</v>
      </c>
      <c r="D20" s="57">
        <f>D19/D4</f>
        <v>-7.5902955125652332</v>
      </c>
      <c r="E20" s="57" t="e">
        <f>E19/E4</f>
        <v>#DIV/0!</v>
      </c>
      <c r="F20" s="57">
        <f>F19/F4</f>
        <v>0.27977359598912577</v>
      </c>
      <c r="J20" s="57">
        <f>J19/J4</f>
        <v>1.1900673295699141E-2</v>
      </c>
    </row>
    <row r="22" spans="1:12">
      <c r="A22" s="42" t="s">
        <v>160</v>
      </c>
      <c r="B22" s="58"/>
      <c r="C22" s="58"/>
    </row>
    <row r="23" spans="1:12" ht="31.5">
      <c r="B23" s="46" t="s">
        <v>139</v>
      </c>
      <c r="D23" s="46" t="s">
        <v>140</v>
      </c>
      <c r="F23" s="46" t="s">
        <v>141</v>
      </c>
      <c r="H23" s="46" t="s">
        <v>158</v>
      </c>
      <c r="J23" s="46" t="s">
        <v>144</v>
      </c>
    </row>
    <row r="25" spans="1:12">
      <c r="A25" s="48" t="s">
        <v>145</v>
      </c>
      <c r="B25" s="49">
        <v>49539636.920000002</v>
      </c>
      <c r="C25" s="50"/>
      <c r="D25" s="49">
        <v>6966647.46</v>
      </c>
      <c r="E25" s="49"/>
      <c r="F25" s="49">
        <v>8218305.6499999985</v>
      </c>
      <c r="G25" s="49"/>
      <c r="H25" s="49">
        <v>-3273077.1999999997</v>
      </c>
      <c r="I25" s="49"/>
      <c r="J25" s="49">
        <v>61451512.829999998</v>
      </c>
    </row>
    <row r="26" spans="1:12">
      <c r="A26" s="51" t="s">
        <v>146</v>
      </c>
      <c r="B26" s="43">
        <v>49524689.359999999</v>
      </c>
      <c r="C26" s="52"/>
      <c r="D26" s="43">
        <v>6966647.46</v>
      </c>
      <c r="F26" s="43">
        <v>4645660.959999999</v>
      </c>
      <c r="H26" s="43">
        <v>0</v>
      </c>
      <c r="J26" s="43">
        <v>61136997.780000001</v>
      </c>
    </row>
    <row r="27" spans="1:12">
      <c r="A27" s="51" t="s">
        <v>147</v>
      </c>
      <c r="B27" s="43">
        <v>14947.56</v>
      </c>
      <c r="C27" s="52"/>
      <c r="D27" s="43">
        <v>0</v>
      </c>
      <c r="F27" s="43">
        <v>299567.49</v>
      </c>
      <c r="H27" s="43">
        <v>0</v>
      </c>
      <c r="J27" s="43">
        <v>314515.05</v>
      </c>
    </row>
    <row r="28" spans="1:12">
      <c r="A28" s="51" t="s">
        <v>148</v>
      </c>
      <c r="B28" s="43">
        <v>0</v>
      </c>
      <c r="C28" s="52"/>
      <c r="D28" s="43">
        <v>0</v>
      </c>
      <c r="F28" s="43">
        <v>3273077.1999999997</v>
      </c>
      <c r="H28" s="43">
        <v>-3273077.1999999997</v>
      </c>
      <c r="J28" s="43">
        <v>0</v>
      </c>
    </row>
    <row r="29" spans="1:12" hidden="1" outlineLevel="1">
      <c r="A29" s="48" t="s">
        <v>149</v>
      </c>
      <c r="B29" s="49">
        <v>44370524.090000004</v>
      </c>
      <c r="C29" s="50"/>
      <c r="D29" s="49">
        <v>9708983.4400000013</v>
      </c>
      <c r="E29" s="49"/>
      <c r="F29" s="49">
        <v>4641438.1399999997</v>
      </c>
      <c r="G29" s="49"/>
      <c r="H29" s="49">
        <v>2831796.0283361925</v>
      </c>
      <c r="I29" s="49"/>
      <c r="J29" s="49">
        <v>61552741.698336191</v>
      </c>
    </row>
    <row r="30" spans="1:12" hidden="1" outlineLevel="1">
      <c r="A30" s="59" t="s">
        <v>86</v>
      </c>
      <c r="B30" s="43">
        <v>891837.8899999999</v>
      </c>
      <c r="C30" s="43"/>
      <c r="D30" s="43">
        <v>1122024.5500000024</v>
      </c>
      <c r="F30" s="43">
        <v>227879.22</v>
      </c>
      <c r="H30" s="43">
        <v>0</v>
      </c>
      <c r="J30" s="43">
        <v>2241741.6600000025</v>
      </c>
    </row>
    <row r="31" spans="1:12" hidden="1" outlineLevel="1">
      <c r="A31" s="59" t="s">
        <v>64</v>
      </c>
      <c r="B31" s="43">
        <v>38641794.340000004</v>
      </c>
      <c r="C31" s="43"/>
      <c r="D31" s="43">
        <v>1609105.18</v>
      </c>
      <c r="F31" s="43">
        <v>0</v>
      </c>
      <c r="H31" s="43">
        <v>0</v>
      </c>
      <c r="J31" s="43">
        <v>40250899.520000003</v>
      </c>
    </row>
    <row r="32" spans="1:12" hidden="1" outlineLevel="1">
      <c r="A32" s="59" t="s">
        <v>87</v>
      </c>
      <c r="B32" s="43">
        <v>4836891.8600000003</v>
      </c>
      <c r="C32" s="43"/>
      <c r="D32" s="43">
        <v>6977853.71</v>
      </c>
      <c r="F32" s="43">
        <v>4413558.92</v>
      </c>
      <c r="H32" s="43">
        <v>-1838866.92</v>
      </c>
      <c r="J32" s="43">
        <v>14389437.57</v>
      </c>
    </row>
    <row r="33" spans="1:10" hidden="1" outlineLevel="1">
      <c r="A33" s="59" t="s">
        <v>88</v>
      </c>
      <c r="B33" s="43">
        <v>0</v>
      </c>
      <c r="C33" s="43"/>
      <c r="D33" s="43">
        <v>0</v>
      </c>
      <c r="F33" s="43">
        <v>0</v>
      </c>
      <c r="H33" s="43">
        <v>4463400.2083361922</v>
      </c>
      <c r="J33" s="43">
        <v>4463400.2083361922</v>
      </c>
    </row>
    <row r="34" spans="1:10" hidden="1" outlineLevel="1">
      <c r="A34" s="59" t="s">
        <v>63</v>
      </c>
      <c r="B34" s="43">
        <v>0</v>
      </c>
      <c r="C34" s="43"/>
      <c r="D34" s="43">
        <v>0</v>
      </c>
      <c r="F34" s="43">
        <v>0</v>
      </c>
      <c r="H34" s="43">
        <v>207262.74</v>
      </c>
      <c r="J34" s="43">
        <v>207262.74</v>
      </c>
    </row>
    <row r="35" spans="1:10" collapsed="1"/>
    <row r="36" spans="1:10" ht="11" thickBot="1">
      <c r="A36" s="48" t="s">
        <v>150</v>
      </c>
      <c r="B36" s="53">
        <v>5169112.8299999982</v>
      </c>
      <c r="C36" s="50"/>
      <c r="D36" s="53">
        <v>-2742335.9800000014</v>
      </c>
      <c r="E36" s="49"/>
      <c r="F36" s="53">
        <v>3576867.5099999988</v>
      </c>
      <c r="G36" s="49"/>
      <c r="H36" s="53">
        <v>-6104873.2283361927</v>
      </c>
      <c r="I36" s="49"/>
      <c r="J36" s="53">
        <v>-101228.86833619326</v>
      </c>
    </row>
    <row r="37" spans="1:10">
      <c r="A37" s="45" t="s">
        <v>62</v>
      </c>
      <c r="B37" s="43">
        <v>-437885.2</v>
      </c>
      <c r="C37" s="43"/>
      <c r="D37" s="43">
        <v>-1877675.04</v>
      </c>
      <c r="F37" s="43">
        <v>-266179.49</v>
      </c>
      <c r="H37" s="43">
        <v>-376048.07413241221</v>
      </c>
      <c r="J37" s="43">
        <v>-2957787.8041324127</v>
      </c>
    </row>
    <row r="38" spans="1:10">
      <c r="A38" s="56" t="s">
        <v>156</v>
      </c>
      <c r="B38" s="57">
        <f>B36/B25</f>
        <v>0.10434296961738811</v>
      </c>
      <c r="D38" s="57">
        <f>D36/D25</f>
        <v>-0.39363782877567932</v>
      </c>
      <c r="E38" s="57"/>
      <c r="F38" s="57">
        <f>F36/F25</f>
        <v>0.43523174512254842</v>
      </c>
      <c r="J38" s="57">
        <f>J36/J25</f>
        <v>-1.6472966030345532E-3</v>
      </c>
    </row>
    <row r="39" spans="1:10" ht="11" thickBot="1">
      <c r="A39" s="48" t="s">
        <v>151</v>
      </c>
      <c r="B39" s="53">
        <v>5606998.0299999984</v>
      </c>
      <c r="C39" s="54"/>
      <c r="D39" s="53">
        <v>-864660.94000000134</v>
      </c>
      <c r="E39" s="49"/>
      <c r="F39" s="53">
        <v>3843046.9999999991</v>
      </c>
      <c r="G39" s="49"/>
      <c r="H39" s="53">
        <v>-5728825.15420378</v>
      </c>
      <c r="I39" s="49"/>
      <c r="J39" s="53">
        <v>2856558.9357962194</v>
      </c>
    </row>
    <row r="40" spans="1:10">
      <c r="A40" s="56" t="s">
        <v>157</v>
      </c>
      <c r="B40" s="57">
        <f>B39/B25</f>
        <v>0.11318205741100934</v>
      </c>
      <c r="D40" s="57">
        <f>D39/D25</f>
        <v>-0.12411435270186635</v>
      </c>
      <c r="E40" s="57" t="e">
        <f>E39/E25</f>
        <v>#DIV/0!</v>
      </c>
      <c r="F40" s="57">
        <f>F39/F25</f>
        <v>0.46762035432449506</v>
      </c>
      <c r="J40" s="57">
        <f>J39/J25</f>
        <v>4.6484761794207234E-2</v>
      </c>
    </row>
    <row r="42" spans="1:10">
      <c r="A42" s="42" t="s">
        <v>161</v>
      </c>
      <c r="B42" s="58"/>
      <c r="C42" s="58"/>
    </row>
    <row r="43" spans="1:10" ht="31.5">
      <c r="B43" s="46" t="s">
        <v>139</v>
      </c>
      <c r="D43" s="46" t="s">
        <v>140</v>
      </c>
      <c r="F43" s="46" t="s">
        <v>141</v>
      </c>
      <c r="H43" s="46" t="s">
        <v>158</v>
      </c>
      <c r="J43" s="46" t="s">
        <v>144</v>
      </c>
    </row>
    <row r="45" spans="1:10">
      <c r="A45" s="48" t="s">
        <v>145</v>
      </c>
      <c r="B45" s="49">
        <v>53359520.377709188</v>
      </c>
      <c r="C45" s="50"/>
      <c r="D45" s="49">
        <v>18219395.219999999</v>
      </c>
      <c r="E45" s="49"/>
      <c r="F45" s="49">
        <v>11044074.702290826</v>
      </c>
      <c r="G45" s="49"/>
      <c r="H45" s="49">
        <v>-5247162.6722908253</v>
      </c>
      <c r="I45" s="49"/>
      <c r="J45" s="49">
        <v>77375827.62770918</v>
      </c>
    </row>
    <row r="46" spans="1:10">
      <c r="A46" s="51" t="s">
        <v>146</v>
      </c>
      <c r="B46" s="43">
        <v>53359520.377709188</v>
      </c>
      <c r="C46" s="52"/>
      <c r="D46" s="43">
        <v>18219395.219999999</v>
      </c>
      <c r="F46" s="43">
        <v>5667173.4000000004</v>
      </c>
      <c r="H46" s="43">
        <v>0</v>
      </c>
      <c r="J46" s="43">
        <v>77246088.997709185</v>
      </c>
    </row>
    <row r="47" spans="1:10">
      <c r="A47" s="51" t="s">
        <v>147</v>
      </c>
      <c r="B47" s="43">
        <v>0</v>
      </c>
      <c r="C47" s="52"/>
      <c r="D47" s="43">
        <v>0</v>
      </c>
      <c r="F47" s="43">
        <v>129738.63</v>
      </c>
      <c r="H47" s="43">
        <v>0</v>
      </c>
      <c r="J47" s="43">
        <v>129738.63</v>
      </c>
    </row>
    <row r="48" spans="1:10">
      <c r="A48" s="51" t="s">
        <v>148</v>
      </c>
      <c r="B48" s="43">
        <v>0</v>
      </c>
      <c r="C48" s="52"/>
      <c r="D48" s="43">
        <v>0</v>
      </c>
      <c r="F48" s="43">
        <v>5247162.6722908253</v>
      </c>
      <c r="H48" s="43">
        <v>-5247162.6722908253</v>
      </c>
      <c r="J48" s="43">
        <v>0</v>
      </c>
    </row>
    <row r="49" spans="1:10">
      <c r="B49" s="43"/>
      <c r="F49" s="43">
        <v>0</v>
      </c>
    </row>
    <row r="50" spans="1:10" hidden="1" outlineLevel="1">
      <c r="A50" s="48" t="s">
        <v>149</v>
      </c>
      <c r="B50" s="49">
        <v>46054032.030000001</v>
      </c>
      <c r="C50" s="50"/>
      <c r="D50" s="49">
        <v>13316619.580000002</v>
      </c>
      <c r="E50" s="49"/>
      <c r="F50" s="49">
        <v>5650754.8899999997</v>
      </c>
      <c r="G50" s="49"/>
      <c r="H50" s="49">
        <v>2006866.2379722698</v>
      </c>
      <c r="I50" s="49"/>
      <c r="J50" s="49">
        <v>67028272.737972267</v>
      </c>
    </row>
    <row r="51" spans="1:10" hidden="1" outlineLevel="1">
      <c r="A51" s="59" t="s">
        <v>86</v>
      </c>
      <c r="B51" s="43">
        <v>6334826.0999999996</v>
      </c>
      <c r="C51" s="43"/>
      <c r="D51" s="43">
        <v>3064514.4000000018</v>
      </c>
      <c r="F51" s="43">
        <v>1237195.97</v>
      </c>
      <c r="H51" s="43">
        <v>-1766307.01</v>
      </c>
      <c r="J51" s="43">
        <v>8870229.4600000028</v>
      </c>
    </row>
    <row r="52" spans="1:10" hidden="1" outlineLevel="1">
      <c r="A52" s="59" t="s">
        <v>64</v>
      </c>
      <c r="B52" s="43">
        <v>34727324.960000001</v>
      </c>
      <c r="C52" s="43"/>
      <c r="D52" s="43">
        <v>1450555.33</v>
      </c>
      <c r="F52" s="43">
        <v>0</v>
      </c>
      <c r="H52" s="43">
        <v>0</v>
      </c>
      <c r="J52" s="43">
        <v>36177880.289999999</v>
      </c>
    </row>
    <row r="53" spans="1:10" hidden="1" outlineLevel="1">
      <c r="A53" s="59" t="s">
        <v>87</v>
      </c>
      <c r="B53" s="43">
        <v>4991880.97</v>
      </c>
      <c r="C53" s="43"/>
      <c r="D53" s="43">
        <v>8801549.8499999996</v>
      </c>
      <c r="F53" s="43">
        <v>4413558.92</v>
      </c>
      <c r="H53" s="43">
        <v>-2310773.08</v>
      </c>
      <c r="J53" s="43">
        <v>15896216.660000002</v>
      </c>
    </row>
    <row r="54" spans="1:10" hidden="1" outlineLevel="1">
      <c r="A54" s="59" t="s">
        <v>88</v>
      </c>
      <c r="B54" s="43">
        <v>0</v>
      </c>
      <c r="C54" s="43"/>
      <c r="D54" s="43">
        <v>0</v>
      </c>
      <c r="F54" s="43">
        <v>0</v>
      </c>
      <c r="H54" s="43">
        <v>6251593.9179722695</v>
      </c>
      <c r="J54" s="43">
        <v>6251593.9179722695</v>
      </c>
    </row>
    <row r="55" spans="1:10" hidden="1" outlineLevel="1">
      <c r="A55" s="59" t="s">
        <v>63</v>
      </c>
      <c r="B55" s="43">
        <v>0</v>
      </c>
      <c r="C55" s="43"/>
      <c r="D55" s="43">
        <v>0</v>
      </c>
      <c r="F55" s="43">
        <v>0</v>
      </c>
      <c r="H55" s="43">
        <v>-167647.58999999997</v>
      </c>
      <c r="J55" s="43">
        <v>-167647.58999999997</v>
      </c>
    </row>
    <row r="56" spans="1:10" hidden="1" outlineLevel="1"/>
    <row r="57" spans="1:10" ht="11" collapsed="1" thickBot="1">
      <c r="A57" s="48" t="s">
        <v>150</v>
      </c>
      <c r="B57" s="53">
        <v>7305488.3477091864</v>
      </c>
      <c r="C57" s="50"/>
      <c r="D57" s="53">
        <v>4902775.6399999969</v>
      </c>
      <c r="E57" s="49"/>
      <c r="F57" s="53">
        <v>5393319.8122908259</v>
      </c>
      <c r="G57" s="49"/>
      <c r="H57" s="53">
        <v>-7254028.9102630951</v>
      </c>
      <c r="I57" s="49"/>
      <c r="J57" s="53">
        <v>10347554.889736913</v>
      </c>
    </row>
    <row r="58" spans="1:10">
      <c r="A58" s="45" t="s">
        <v>62</v>
      </c>
      <c r="B58" s="43">
        <v>-510884.5</v>
      </c>
      <c r="C58" s="43">
        <v>0</v>
      </c>
      <c r="D58" s="43">
        <v>-1920780.5</v>
      </c>
      <c r="E58" s="43">
        <v>0</v>
      </c>
      <c r="F58" s="43">
        <v>-248408.67</v>
      </c>
      <c r="G58" s="43">
        <v>0</v>
      </c>
      <c r="H58" s="43">
        <v>-364164.82413241221</v>
      </c>
      <c r="I58" s="43">
        <v>0</v>
      </c>
      <c r="J58" s="43">
        <v>-3044238.4941324121</v>
      </c>
    </row>
    <row r="59" spans="1:10">
      <c r="A59" s="56" t="s">
        <v>156</v>
      </c>
      <c r="B59" s="57">
        <f>B57/B45</f>
        <v>0.13691068240487853</v>
      </c>
      <c r="D59" s="57">
        <f>D57/D45</f>
        <v>0.26909650846247996</v>
      </c>
      <c r="E59" s="57"/>
      <c r="F59" s="57">
        <f>F57/F45</f>
        <v>0.48834510429127326</v>
      </c>
      <c r="J59" s="57">
        <f>J57/J45</f>
        <v>0.13373110449330217</v>
      </c>
    </row>
    <row r="60" spans="1:10" ht="11" thickBot="1">
      <c r="A60" s="48" t="s">
        <v>151</v>
      </c>
      <c r="B60" s="53">
        <v>7816372.8477091864</v>
      </c>
      <c r="C60" s="54"/>
      <c r="D60" s="53">
        <v>6823556.1399999969</v>
      </c>
      <c r="E60" s="49"/>
      <c r="F60" s="53">
        <v>5641728.4822908258</v>
      </c>
      <c r="G60" s="49"/>
      <c r="H60" s="53">
        <v>-6889864.0861306824</v>
      </c>
      <c r="I60" s="49"/>
      <c r="J60" s="53">
        <v>13391793.383869326</v>
      </c>
    </row>
    <row r="61" spans="1:10">
      <c r="A61" s="56" t="s">
        <v>157</v>
      </c>
      <c r="B61" s="57">
        <f>B60/B45</f>
        <v>0.14648506568987935</v>
      </c>
      <c r="D61" s="57">
        <f>D60/D45</f>
        <v>0.37452155011762223</v>
      </c>
      <c r="E61" s="57" t="e">
        <f>E60/E46</f>
        <v>#DIV/0!</v>
      </c>
      <c r="F61" s="57">
        <f>F60/F45</f>
        <v>0.51083758797109424</v>
      </c>
      <c r="J61" s="57">
        <f>J60/J45</f>
        <v>0.17307463835221801</v>
      </c>
    </row>
  </sheetData>
  <pageMargins left="0.75" right="0.75" top="1" bottom="1" header="0.5" footer="0.5"/>
  <pageSetup paperSize="9" scale="88" orientation="portrait" r:id="rId1"/>
  <headerFooter alignWithMargins="0">
    <oddHeader>&amp;C Nota nr &amp;A str &amp;P / &amp;N</oddHeader>
    <oddFooter>&amp;C Nota nr 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GU103"/>
  <sheetViews>
    <sheetView zoomScale="109" zoomScaleNormal="109" workbookViewId="0">
      <pane xSplit="1" ySplit="2" topLeftCell="B3" activePane="bottomRight" state="frozenSplit"/>
      <selection pane="topRight" activeCell="B1" sqref="B1"/>
      <selection pane="bottomLeft" activeCell="A3" sqref="A3"/>
      <selection pane="bottomRight" sqref="A1:A2"/>
    </sheetView>
  </sheetViews>
  <sheetFormatPr defaultRowHeight="12.5"/>
  <cols>
    <col min="1" max="1" width="48" style="97" customWidth="1"/>
    <col min="2" max="2" width="1.7265625" customWidth="1"/>
    <col min="3" max="3" width="16.7265625" customWidth="1"/>
    <col min="4" max="4" width="1.7265625" customWidth="1"/>
    <col min="5" max="5" width="13.54296875" customWidth="1"/>
    <col min="6" max="6" width="1.7265625" customWidth="1"/>
    <col min="7" max="7" width="17.453125" customWidth="1"/>
    <col min="8" max="8" width="1.7265625" customWidth="1"/>
    <col min="9" max="9" width="13.54296875" customWidth="1"/>
    <col min="10" max="10" width="1.7265625" customWidth="1"/>
    <col min="11" max="11" width="16.7265625" customWidth="1"/>
    <col min="12" max="12" width="1.7265625" customWidth="1"/>
    <col min="13" max="13" width="13.54296875" customWidth="1"/>
    <col min="14" max="14" width="1.7265625" customWidth="1"/>
    <col min="15" max="15" width="17.453125" customWidth="1"/>
    <col min="16" max="16" width="1.7265625" customWidth="1"/>
    <col min="17" max="17" width="13.54296875" customWidth="1"/>
    <col min="18" max="18" width="1.7265625" customWidth="1"/>
    <col min="19" max="19" width="16.7265625" customWidth="1"/>
    <col min="20" max="20" width="1.7265625" customWidth="1"/>
    <col min="21" max="21" width="13.54296875" customWidth="1"/>
    <col min="22" max="22" width="1.7265625" customWidth="1"/>
    <col min="23" max="23" width="17.453125" customWidth="1"/>
    <col min="24" max="24" width="1.7265625" customWidth="1"/>
    <col min="25" max="25" width="13.54296875" customWidth="1"/>
    <col min="26" max="26" width="1.7265625" customWidth="1"/>
    <col min="27" max="27" width="16.7265625" customWidth="1"/>
    <col min="28" max="28" width="1.7265625" customWidth="1"/>
    <col min="29" max="29" width="13.54296875" customWidth="1"/>
    <col min="30" max="30" width="1.7265625" customWidth="1"/>
    <col min="31" max="31" width="17.453125" customWidth="1"/>
    <col min="32" max="32" width="1.7265625" customWidth="1"/>
    <col min="33" max="33" width="13.54296875" customWidth="1"/>
    <col min="34" max="34" width="1.7265625" customWidth="1"/>
    <col min="35" max="35" width="14.453125" customWidth="1"/>
    <col min="36" max="36" width="1.7265625" customWidth="1"/>
    <col min="37" max="37" width="13.54296875" customWidth="1"/>
    <col min="38" max="38" width="1.7265625" customWidth="1"/>
    <col min="39" max="39" width="11.7265625" bestFit="1" customWidth="1"/>
    <col min="40" max="40" width="1.7265625" customWidth="1"/>
    <col min="41" max="41" width="11.26953125" bestFit="1" customWidth="1"/>
    <col min="42" max="42" width="1.7265625" customWidth="1"/>
    <col min="43" max="43" width="14.453125" customWidth="1"/>
    <col min="44" max="44" width="1.7265625" customWidth="1"/>
    <col min="45" max="45" width="13.54296875" customWidth="1"/>
    <col min="46" max="46" width="1.7265625" customWidth="1"/>
    <col min="47" max="47" width="11.7265625" bestFit="1" customWidth="1"/>
    <col min="48" max="48" width="1.7265625" customWidth="1"/>
    <col min="49" max="49" width="11.26953125" bestFit="1" customWidth="1"/>
    <col min="50" max="50" width="1.7265625" customWidth="1"/>
    <col min="51" max="51" width="12.81640625" customWidth="1"/>
    <col min="52" max="52" width="1.7265625" customWidth="1"/>
    <col min="53" max="53" width="11.26953125" bestFit="1" customWidth="1"/>
    <col min="54" max="54" width="1.7265625" customWidth="1"/>
    <col min="55" max="55" width="11.26953125" bestFit="1" customWidth="1"/>
    <col min="56" max="56" width="1.7265625" customWidth="1"/>
    <col min="57" max="57" width="11.26953125" bestFit="1" customWidth="1"/>
    <col min="58" max="58" width="1.7265625" customWidth="1"/>
    <col min="59" max="59" width="11.26953125" bestFit="1" customWidth="1"/>
    <col min="60" max="60" width="1.7265625" customWidth="1"/>
    <col min="61" max="61" width="11.26953125" bestFit="1" customWidth="1"/>
    <col min="62" max="62" width="1.7265625" customWidth="1"/>
    <col min="63" max="63" width="11.26953125" bestFit="1" customWidth="1"/>
    <col min="64" max="64" width="1.7265625" customWidth="1"/>
    <col min="65" max="65" width="11.26953125" bestFit="1" customWidth="1"/>
    <col min="66" max="66" width="1.7265625" customWidth="1"/>
    <col min="67" max="67" width="11.26953125" bestFit="1" customWidth="1"/>
    <col min="68" max="68" width="1.7265625" customWidth="1"/>
    <col min="69" max="69" width="15.81640625" bestFit="1" customWidth="1"/>
    <col min="70" max="70" width="1.7265625" customWidth="1"/>
    <col min="71" max="71" width="11.26953125" bestFit="1" customWidth="1"/>
    <col min="72" max="72" width="1.7265625" customWidth="1"/>
    <col min="73" max="73" width="13.54296875" customWidth="1"/>
    <col min="74" max="74" width="1.7265625" customWidth="1"/>
    <col min="75" max="75" width="11.26953125" bestFit="1" customWidth="1"/>
    <col min="76" max="76" width="1.7265625" customWidth="1"/>
    <col min="77" max="77" width="11.26953125" bestFit="1" customWidth="1"/>
    <col min="78" max="78" width="1.7265625" customWidth="1"/>
    <col min="79" max="79" width="11.26953125" bestFit="1" customWidth="1"/>
    <col min="80" max="80" width="1.7265625" customWidth="1"/>
    <col min="81" max="81" width="11.26953125" bestFit="1" customWidth="1"/>
    <col min="82" max="82" width="1.7265625" customWidth="1"/>
    <col min="83" max="83" width="11.26953125" bestFit="1" customWidth="1"/>
    <col min="84" max="84" width="1.7265625" customWidth="1"/>
    <col min="85" max="85" width="11.26953125" bestFit="1" customWidth="1"/>
    <col min="86" max="86" width="1.7265625" customWidth="1"/>
    <col min="87" max="87" width="11.26953125" bestFit="1" customWidth="1"/>
    <col min="88" max="88" width="1.7265625" customWidth="1"/>
    <col min="89" max="89" width="11.26953125" bestFit="1" customWidth="1"/>
    <col min="90" max="90" width="1.7265625" customWidth="1"/>
    <col min="91" max="91" width="11.26953125" bestFit="1" customWidth="1"/>
    <col min="92" max="92" width="1.7265625" customWidth="1"/>
    <col min="93" max="93" width="11.26953125" bestFit="1" customWidth="1"/>
    <col min="94" max="94" width="1.54296875" customWidth="1"/>
    <col min="95" max="95" width="11.26953125" bestFit="1" customWidth="1"/>
    <col min="96" max="96" width="0.81640625" customWidth="1"/>
    <col min="97" max="97" width="11.26953125" bestFit="1" customWidth="1"/>
    <col min="98" max="98" width="1.54296875" customWidth="1"/>
    <col min="99" max="99" width="11.26953125" bestFit="1" customWidth="1"/>
    <col min="100" max="100" width="1.7265625" customWidth="1"/>
    <col min="101" max="101" width="11.26953125" bestFit="1" customWidth="1"/>
    <col min="102" max="102" width="1.7265625" customWidth="1"/>
    <col min="103" max="103" width="11.26953125" bestFit="1" customWidth="1"/>
    <col min="104" max="104" width="1.7265625" customWidth="1"/>
    <col min="105" max="105" width="11.26953125" bestFit="1" customWidth="1"/>
    <col min="106" max="106" width="2.1796875" style="93" customWidth="1"/>
    <col min="107" max="107" width="12.7265625" bestFit="1" customWidth="1"/>
    <col min="108" max="108" width="1" customWidth="1"/>
    <col min="109" max="109" width="12.7265625" bestFit="1" customWidth="1"/>
    <col min="110" max="110" width="1" customWidth="1"/>
    <col min="111" max="111" width="12.7265625" bestFit="1" customWidth="1"/>
    <col min="112" max="112" width="1" customWidth="1"/>
    <col min="113" max="113" width="12.7265625" bestFit="1" customWidth="1"/>
    <col min="114" max="114" width="1" customWidth="1"/>
    <col min="115" max="115" width="12.7265625" bestFit="1" customWidth="1"/>
    <col min="116" max="116" width="1" customWidth="1"/>
    <col min="117" max="117" width="12.7265625" bestFit="1" customWidth="1"/>
    <col min="118" max="118" width="1" customWidth="1"/>
    <col min="119" max="119" width="12.7265625" bestFit="1" customWidth="1"/>
    <col min="120" max="120" width="1" customWidth="1"/>
    <col min="121" max="121" width="12.7265625" bestFit="1" customWidth="1"/>
    <col min="122" max="122" width="1" customWidth="1"/>
    <col min="123" max="123" width="12.7265625" bestFit="1" customWidth="1"/>
    <col min="124" max="124" width="1" customWidth="1"/>
    <col min="125" max="125" width="12.7265625" bestFit="1" customWidth="1"/>
    <col min="126" max="126" width="1" customWidth="1"/>
    <col min="127" max="127" width="12.7265625" bestFit="1" customWidth="1"/>
    <col min="128" max="128" width="1" customWidth="1"/>
    <col min="129" max="129" width="12.7265625" bestFit="1" customWidth="1"/>
    <col min="130" max="130" width="1" customWidth="1"/>
    <col min="131" max="131" width="12.7265625" bestFit="1" customWidth="1"/>
    <col min="132" max="132" width="1" customWidth="1"/>
    <col min="133" max="133" width="12.7265625" bestFit="1" customWidth="1"/>
    <col min="134" max="134" width="1" customWidth="1"/>
    <col min="135" max="135" width="12.7265625" bestFit="1" customWidth="1"/>
    <col min="136" max="136" width="1" customWidth="1"/>
    <col min="137" max="137" width="12.7265625" bestFit="1" customWidth="1"/>
    <col min="138" max="138" width="1" customWidth="1"/>
    <col min="139" max="139" width="12.7265625" bestFit="1" customWidth="1"/>
    <col min="140" max="140" width="1" customWidth="1"/>
    <col min="141" max="141" width="12.7265625" bestFit="1" customWidth="1"/>
    <col min="142" max="142" width="1" customWidth="1"/>
    <col min="143" max="143" width="12.7265625" bestFit="1" customWidth="1"/>
    <col min="144" max="144" width="1" customWidth="1"/>
    <col min="145" max="145" width="12.7265625" bestFit="1" customWidth="1"/>
    <col min="146" max="146" width="1" customWidth="1"/>
    <col min="147" max="147" width="12.7265625" bestFit="1" customWidth="1"/>
    <col min="148" max="148" width="1" customWidth="1"/>
    <col min="149" max="149" width="12.7265625" bestFit="1" customWidth="1"/>
    <col min="150" max="150" width="1" customWidth="1"/>
    <col min="151" max="151" width="12.7265625" bestFit="1" customWidth="1"/>
    <col min="152" max="152" width="1" customWidth="1"/>
    <col min="153" max="153" width="12.7265625" bestFit="1" customWidth="1"/>
    <col min="154" max="154" width="1" customWidth="1"/>
    <col min="155" max="155" width="12.7265625" customWidth="1"/>
    <col min="156" max="156" width="1" customWidth="1"/>
    <col min="157" max="157" width="12.7265625" bestFit="1" customWidth="1"/>
    <col min="158" max="158" width="1" customWidth="1"/>
    <col min="159" max="159" width="12.7265625" bestFit="1" customWidth="1"/>
    <col min="160" max="160" width="1" customWidth="1"/>
    <col min="161" max="161" width="12.7265625" bestFit="1" customWidth="1"/>
    <col min="162" max="162" width="1" customWidth="1"/>
    <col min="163" max="163" width="13.54296875" bestFit="1" customWidth="1"/>
    <col min="164" max="164" width="1" customWidth="1"/>
    <col min="165" max="165" width="12.7265625" bestFit="1" customWidth="1"/>
    <col min="166" max="166" width="1" customWidth="1"/>
    <col min="167" max="167" width="12.7265625" bestFit="1" customWidth="1"/>
    <col min="168" max="168" width="1" customWidth="1"/>
    <col min="169" max="169" width="12.7265625" bestFit="1" customWidth="1"/>
    <col min="170" max="170" width="1" customWidth="1"/>
    <col min="171" max="171" width="12.7265625" bestFit="1" customWidth="1"/>
    <col min="172" max="172" width="1" customWidth="1"/>
    <col min="173" max="173" width="12.7265625" bestFit="1" customWidth="1"/>
    <col min="174" max="174" width="1" customWidth="1"/>
    <col min="175" max="175" width="12.7265625" bestFit="1" customWidth="1"/>
    <col min="176" max="176" width="1" customWidth="1"/>
    <col min="177" max="177" width="12.7265625" bestFit="1" customWidth="1"/>
    <col min="178" max="178" width="1" customWidth="1"/>
    <col min="179" max="179" width="12.7265625" bestFit="1" customWidth="1"/>
    <col min="180" max="180" width="1" customWidth="1"/>
    <col min="181" max="181" width="12.7265625" bestFit="1" customWidth="1"/>
    <col min="182" max="182" width="1" customWidth="1"/>
    <col min="183" max="183" width="12.7265625" bestFit="1" customWidth="1"/>
    <col min="184" max="184" width="1" customWidth="1"/>
    <col min="185" max="185" width="12.7265625" bestFit="1" customWidth="1"/>
    <col min="186" max="186" width="1" customWidth="1"/>
    <col min="187" max="187" width="12.7265625" bestFit="1" customWidth="1"/>
    <col min="188" max="188" width="1" customWidth="1"/>
    <col min="189" max="189" width="12.7265625" bestFit="1" customWidth="1"/>
    <col min="190" max="190" width="1" customWidth="1"/>
    <col min="191" max="191" width="12.7265625" bestFit="1" customWidth="1"/>
    <col min="192" max="192" width="1" customWidth="1"/>
    <col min="193" max="193" width="12.7265625" bestFit="1" customWidth="1"/>
    <col min="194" max="194" width="1" customWidth="1"/>
    <col min="195" max="195" width="12.7265625" bestFit="1" customWidth="1"/>
    <col min="196" max="196" width="1" customWidth="1"/>
    <col min="197" max="197" width="12.7265625" bestFit="1" customWidth="1"/>
    <col min="198" max="198" width="1.1796875" customWidth="1"/>
    <col min="199" max="199" width="12.7265625" bestFit="1" customWidth="1"/>
    <col min="200" max="200" width="1.54296875" customWidth="1"/>
    <col min="201" max="201" width="12.7265625" bestFit="1" customWidth="1"/>
    <col min="202" max="202" width="1.54296875" customWidth="1"/>
    <col min="203" max="203" width="12.7265625" bestFit="1" customWidth="1"/>
  </cols>
  <sheetData>
    <row r="1" spans="1:203" s="2" customFormat="1" ht="10">
      <c r="A1" s="203" t="s">
        <v>200</v>
      </c>
      <c r="B1" s="82"/>
      <c r="C1" s="189">
        <v>45930</v>
      </c>
      <c r="D1" s="190"/>
      <c r="E1" s="191">
        <v>45838</v>
      </c>
      <c r="F1" s="190"/>
      <c r="G1" s="191">
        <v>45747</v>
      </c>
      <c r="H1" s="190"/>
      <c r="I1" s="191">
        <v>45657</v>
      </c>
      <c r="J1" s="82"/>
      <c r="K1" s="189">
        <v>45565</v>
      </c>
      <c r="L1" s="190"/>
      <c r="M1" s="191">
        <v>45473</v>
      </c>
      <c r="N1" s="190"/>
      <c r="O1" s="191">
        <v>45382</v>
      </c>
      <c r="P1" s="190"/>
      <c r="Q1" s="191">
        <v>45291</v>
      </c>
      <c r="R1" s="82"/>
      <c r="S1" s="189">
        <v>45199</v>
      </c>
      <c r="T1" s="190"/>
      <c r="U1" s="191">
        <v>45107</v>
      </c>
      <c r="V1" s="190"/>
      <c r="W1" s="191">
        <v>45016</v>
      </c>
      <c r="X1" s="190"/>
      <c r="Y1" s="191">
        <v>44926</v>
      </c>
      <c r="Z1" s="82"/>
      <c r="AA1" s="189">
        <v>44834</v>
      </c>
      <c r="AB1" s="190"/>
      <c r="AC1" s="191">
        <v>44742</v>
      </c>
      <c r="AD1" s="190"/>
      <c r="AE1" s="191">
        <v>44651</v>
      </c>
      <c r="AF1" s="190"/>
      <c r="AG1" s="191">
        <v>44561</v>
      </c>
      <c r="AH1" s="82"/>
      <c r="AI1" s="83" t="s">
        <v>279</v>
      </c>
      <c r="AJ1" s="82"/>
      <c r="AK1" s="81" t="s">
        <v>280</v>
      </c>
      <c r="AL1" s="82"/>
      <c r="AM1" s="81" t="s">
        <v>281</v>
      </c>
      <c r="AN1" s="82"/>
      <c r="AO1" s="81" t="s">
        <v>282</v>
      </c>
      <c r="AP1" s="82"/>
      <c r="AQ1" s="83" t="s">
        <v>272</v>
      </c>
      <c r="AR1" s="82"/>
      <c r="AS1" s="81" t="s">
        <v>271</v>
      </c>
      <c r="AT1" s="82"/>
      <c r="AU1" s="81" t="s">
        <v>270</v>
      </c>
      <c r="AV1" s="82"/>
      <c r="AW1" s="81" t="s">
        <v>269</v>
      </c>
      <c r="AX1" s="82"/>
      <c r="AY1" s="83" t="s">
        <v>256</v>
      </c>
      <c r="AZ1" s="82"/>
      <c r="BA1" s="81" t="s">
        <v>255</v>
      </c>
      <c r="BB1" s="82"/>
      <c r="BC1" s="81" t="s">
        <v>253</v>
      </c>
      <c r="BD1" s="82"/>
      <c r="BE1" s="81" t="s">
        <v>254</v>
      </c>
      <c r="BF1" s="82"/>
      <c r="BG1" s="83" t="s">
        <v>234</v>
      </c>
      <c r="BH1" s="82"/>
      <c r="BI1" s="81" t="s">
        <v>235</v>
      </c>
      <c r="BJ1" s="82"/>
      <c r="BK1" s="81" t="s">
        <v>236</v>
      </c>
      <c r="BL1" s="82"/>
      <c r="BM1" s="81" t="s">
        <v>233</v>
      </c>
      <c r="BN1" s="82"/>
      <c r="BO1" s="81" t="s">
        <v>232</v>
      </c>
      <c r="BP1" s="82"/>
      <c r="BQ1" s="81" t="s">
        <v>231</v>
      </c>
      <c r="BR1" s="82"/>
      <c r="BS1" s="81" t="s">
        <v>230</v>
      </c>
      <c r="BU1" s="83" t="s">
        <v>217</v>
      </c>
      <c r="BW1" s="81" t="s">
        <v>218</v>
      </c>
      <c r="BX1" s="82"/>
      <c r="BY1" s="81" t="s">
        <v>219</v>
      </c>
      <c r="BZ1" s="82"/>
      <c r="CA1" s="81" t="s">
        <v>220</v>
      </c>
      <c r="CB1" s="82"/>
      <c r="CC1" s="83" t="s">
        <v>212</v>
      </c>
      <c r="CE1" s="81" t="s">
        <v>187</v>
      </c>
      <c r="CF1" s="82"/>
      <c r="CG1" s="81" t="s">
        <v>182</v>
      </c>
      <c r="CH1" s="82"/>
      <c r="CI1" s="81" t="s">
        <v>163</v>
      </c>
      <c r="CJ1" s="82"/>
      <c r="CK1" s="83" t="s">
        <v>162</v>
      </c>
      <c r="CL1" s="82"/>
      <c r="CM1" s="81" t="s">
        <v>0</v>
      </c>
      <c r="CN1" s="82"/>
      <c r="CO1" s="81" t="s">
        <v>1</v>
      </c>
      <c r="CP1" s="82"/>
      <c r="CQ1" s="81" t="s">
        <v>2</v>
      </c>
      <c r="CR1" s="82"/>
      <c r="CS1" s="83" t="s">
        <v>3</v>
      </c>
      <c r="CT1" s="82"/>
      <c r="CU1" s="81" t="s">
        <v>4</v>
      </c>
      <c r="CV1" s="82"/>
      <c r="CW1" s="81" t="s">
        <v>5</v>
      </c>
      <c r="CX1" s="82"/>
      <c r="CY1" s="83" t="s">
        <v>188</v>
      </c>
      <c r="CZ1" s="82"/>
      <c r="DA1" s="83" t="s">
        <v>189</v>
      </c>
      <c r="DB1" s="72"/>
      <c r="DC1" s="191">
        <f>C1</f>
        <v>45930</v>
      </c>
      <c r="DD1" s="190"/>
      <c r="DE1" s="191">
        <f>E1</f>
        <v>45838</v>
      </c>
      <c r="DF1" s="190"/>
      <c r="DG1" s="191">
        <f>G1</f>
        <v>45747</v>
      </c>
      <c r="DH1" s="190"/>
      <c r="DI1" s="191">
        <f>I1</f>
        <v>45657</v>
      </c>
      <c r="DJ1" s="82"/>
      <c r="DK1" s="191">
        <f>K1</f>
        <v>45565</v>
      </c>
      <c r="DL1" s="190"/>
      <c r="DM1" s="191">
        <f>M1</f>
        <v>45473</v>
      </c>
      <c r="DN1" s="190"/>
      <c r="DO1" s="191">
        <f>O1</f>
        <v>45382</v>
      </c>
      <c r="DP1" s="190"/>
      <c r="DQ1" s="191">
        <f>Q1</f>
        <v>45291</v>
      </c>
      <c r="DR1" s="82"/>
      <c r="DS1" s="191">
        <f>S1</f>
        <v>45199</v>
      </c>
      <c r="DT1" s="190"/>
      <c r="DU1" s="191">
        <f>U1</f>
        <v>45107</v>
      </c>
      <c r="DV1" s="190"/>
      <c r="DW1" s="191">
        <f>W1</f>
        <v>45016</v>
      </c>
      <c r="DX1" s="190"/>
      <c r="DY1" s="191">
        <f>Y1</f>
        <v>44926</v>
      </c>
      <c r="DZ1" s="82"/>
      <c r="EA1" s="191">
        <f>AA1</f>
        <v>44834</v>
      </c>
      <c r="EB1" s="190"/>
      <c r="EC1" s="191">
        <f>AC1</f>
        <v>44742</v>
      </c>
      <c r="ED1" s="190"/>
      <c r="EE1" s="191">
        <f>AE1</f>
        <v>44651</v>
      </c>
      <c r="EF1" s="190"/>
      <c r="EG1" s="191">
        <f>AG1</f>
        <v>44561</v>
      </c>
      <c r="EH1" s="82"/>
      <c r="EI1" s="81" t="str">
        <f>AI1</f>
        <v>30.09.2021</v>
      </c>
      <c r="EJ1" s="82"/>
      <c r="EK1" s="81" t="str">
        <f>AK1</f>
        <v>30.06.2021</v>
      </c>
      <c r="EL1" s="82"/>
      <c r="EM1" s="81" t="str">
        <f>AM1</f>
        <v>31.03.2021</v>
      </c>
      <c r="EN1" s="82"/>
      <c r="EO1" s="81" t="str">
        <f>AO1</f>
        <v>31.12.2020</v>
      </c>
      <c r="EP1" s="82"/>
      <c r="EQ1" s="81" t="str">
        <f>AQ1</f>
        <v>30.09.2020</v>
      </c>
      <c r="ER1" s="82"/>
      <c r="ES1" s="81" t="str">
        <f>AS1</f>
        <v>30.06.2020</v>
      </c>
      <c r="ET1" s="82"/>
      <c r="EU1" s="81" t="str">
        <f>AU1</f>
        <v>31.03.2020</v>
      </c>
      <c r="EV1" s="82"/>
      <c r="EW1" s="81" t="str">
        <f>AW1</f>
        <v>31.12.2019</v>
      </c>
      <c r="EX1" s="82"/>
      <c r="EY1" s="81" t="str">
        <f>AY1</f>
        <v>30.09.2019</v>
      </c>
      <c r="EZ1" s="82"/>
      <c r="FA1" s="81" t="str">
        <f>BA1</f>
        <v>30.06.2019</v>
      </c>
      <c r="FB1" s="82"/>
      <c r="FC1" s="81" t="str">
        <f>BC1</f>
        <v>31.03.2019</v>
      </c>
      <c r="FD1" s="82"/>
      <c r="FE1" s="81" t="str">
        <f>BE1</f>
        <v>31.12.2018</v>
      </c>
      <c r="FF1" s="82"/>
      <c r="FG1" s="81" t="str">
        <f>BG1</f>
        <v>30.09.2018</v>
      </c>
      <c r="FH1" s="82"/>
      <c r="FI1" s="81" t="str">
        <f>BI1</f>
        <v>30.06.2018</v>
      </c>
      <c r="FJ1" s="82"/>
      <c r="FK1" s="81" t="str">
        <f>BK1</f>
        <v>31.03.2018</v>
      </c>
      <c r="FL1" s="82"/>
      <c r="FM1" s="81" t="str">
        <f>BM1</f>
        <v>31.12.2017</v>
      </c>
      <c r="FN1" s="82"/>
      <c r="FO1" s="81" t="str">
        <f>BO1</f>
        <v>30.09.2017</v>
      </c>
      <c r="FP1" s="82"/>
      <c r="FQ1" s="81" t="str">
        <f>BQ1</f>
        <v>30.06.2017</v>
      </c>
      <c r="FR1" s="82"/>
      <c r="FS1" s="81" t="str">
        <f>BS1</f>
        <v>31.03.2017</v>
      </c>
      <c r="FU1" s="81" t="str">
        <f>BU1</f>
        <v>31.12.2016</v>
      </c>
      <c r="FW1" s="81" t="str">
        <f>BW1</f>
        <v>30.09.2016</v>
      </c>
      <c r="FY1" s="81" t="str">
        <f>BY1</f>
        <v>30.06.2016</v>
      </c>
      <c r="GA1" s="81" t="str">
        <f>CA1</f>
        <v>31.03.2016</v>
      </c>
      <c r="GC1" s="81" t="str">
        <f>CC1</f>
        <v>31.12.2015</v>
      </c>
      <c r="GE1" s="81" t="str">
        <f>CE1</f>
        <v>30.09.2015</v>
      </c>
      <c r="GG1" s="81" t="str">
        <f>CG1</f>
        <v>30.06.2015</v>
      </c>
      <c r="GI1" s="81" t="str">
        <f>CI1</f>
        <v>31.03.2015</v>
      </c>
      <c r="GK1" s="81" t="str">
        <f>CK1</f>
        <v>31.12.2014</v>
      </c>
      <c r="GM1" s="81" t="str">
        <f>CM1</f>
        <v>30.09.2014</v>
      </c>
      <c r="GO1" s="81" t="str">
        <f>CO1</f>
        <v>30.06.2014</v>
      </c>
      <c r="GQ1" s="81" t="str">
        <f>CQ1</f>
        <v>31.03.2014</v>
      </c>
      <c r="GS1" s="81" t="str">
        <f>CS1</f>
        <v>31.12.2013</v>
      </c>
      <c r="GU1" s="81" t="str">
        <f>CU1</f>
        <v>30.09.2013</v>
      </c>
    </row>
    <row r="2" spans="1:203" s="4" customFormat="1" ht="39.75" customHeight="1">
      <c r="A2" s="203"/>
      <c r="B2" s="2"/>
      <c r="C2" s="90" t="s">
        <v>194</v>
      </c>
      <c r="D2" s="2"/>
      <c r="E2" s="89" t="s">
        <v>193</v>
      </c>
      <c r="F2" s="2"/>
      <c r="G2" s="89" t="s">
        <v>192</v>
      </c>
      <c r="H2" s="2"/>
      <c r="I2" s="89" t="s">
        <v>195</v>
      </c>
      <c r="J2" s="2"/>
      <c r="K2" s="90" t="s">
        <v>194</v>
      </c>
      <c r="L2" s="2"/>
      <c r="M2" s="89" t="s">
        <v>193</v>
      </c>
      <c r="N2" s="2"/>
      <c r="O2" s="89" t="s">
        <v>192</v>
      </c>
      <c r="P2" s="2"/>
      <c r="Q2" s="89" t="s">
        <v>195</v>
      </c>
      <c r="R2" s="2"/>
      <c r="S2" s="90" t="s">
        <v>194</v>
      </c>
      <c r="T2" s="2"/>
      <c r="U2" s="89" t="s">
        <v>193</v>
      </c>
      <c r="V2" s="2"/>
      <c r="W2" s="89" t="s">
        <v>192</v>
      </c>
      <c r="X2" s="2"/>
      <c r="Y2" s="89" t="s">
        <v>195</v>
      </c>
      <c r="Z2" s="2"/>
      <c r="AA2" s="90" t="s">
        <v>194</v>
      </c>
      <c r="AB2" s="2"/>
      <c r="AC2" s="89" t="s">
        <v>193</v>
      </c>
      <c r="AD2" s="2"/>
      <c r="AE2" s="89" t="s">
        <v>192</v>
      </c>
      <c r="AF2" s="2"/>
      <c r="AG2" s="89" t="s">
        <v>195</v>
      </c>
      <c r="AH2" s="2"/>
      <c r="AI2" s="90" t="s">
        <v>194</v>
      </c>
      <c r="AJ2" s="2"/>
      <c r="AK2" s="89" t="s">
        <v>193</v>
      </c>
      <c r="AL2" s="2"/>
      <c r="AM2" s="89" t="s">
        <v>192</v>
      </c>
      <c r="AN2" s="2"/>
      <c r="AO2" s="89" t="s">
        <v>195</v>
      </c>
      <c r="AP2" s="2"/>
      <c r="AQ2" s="90" t="s">
        <v>194</v>
      </c>
      <c r="AR2" s="2"/>
      <c r="AS2" s="89" t="s">
        <v>193</v>
      </c>
      <c r="AT2" s="2"/>
      <c r="AU2" s="89" t="s">
        <v>192</v>
      </c>
      <c r="AV2" s="2"/>
      <c r="AW2" s="89" t="s">
        <v>195</v>
      </c>
      <c r="AX2" s="2"/>
      <c r="AY2" s="90" t="s">
        <v>194</v>
      </c>
      <c r="AZ2" s="2"/>
      <c r="BA2" s="89" t="s">
        <v>193</v>
      </c>
      <c r="BB2" s="2"/>
      <c r="BC2" s="89" t="s">
        <v>192</v>
      </c>
      <c r="BD2" s="2"/>
      <c r="BE2" s="89" t="s">
        <v>195</v>
      </c>
      <c r="BF2" s="2"/>
      <c r="BG2" s="153" t="s">
        <v>265</v>
      </c>
      <c r="BH2" s="2"/>
      <c r="BI2" s="89" t="s">
        <v>238</v>
      </c>
      <c r="BJ2" s="2"/>
      <c r="BK2" s="89" t="s">
        <v>237</v>
      </c>
      <c r="BL2" s="2"/>
      <c r="BM2" s="89" t="s">
        <v>194</v>
      </c>
      <c r="BN2" s="2"/>
      <c r="BO2" s="89" t="s">
        <v>193</v>
      </c>
      <c r="BP2" s="2"/>
      <c r="BQ2" s="89" t="s">
        <v>192</v>
      </c>
      <c r="BR2" s="2"/>
      <c r="BS2" s="89" t="s">
        <v>195</v>
      </c>
      <c r="BU2" s="90" t="s">
        <v>194</v>
      </c>
      <c r="BV2" s="41"/>
      <c r="BW2" s="89" t="s">
        <v>193</v>
      </c>
      <c r="BX2" s="2"/>
      <c r="BY2" s="89" t="s">
        <v>192</v>
      </c>
      <c r="BZ2" s="2"/>
      <c r="CA2" s="89" t="s">
        <v>195</v>
      </c>
      <c r="CB2" s="2"/>
      <c r="CC2" s="90" t="s">
        <v>194</v>
      </c>
      <c r="CD2" s="41"/>
      <c r="CE2" s="89" t="s">
        <v>193</v>
      </c>
      <c r="CF2" s="2"/>
      <c r="CG2" s="89" t="s">
        <v>192</v>
      </c>
      <c r="CH2" s="2"/>
      <c r="CI2" s="89" t="s">
        <v>195</v>
      </c>
      <c r="CJ2" s="2"/>
      <c r="CK2" s="90" t="s">
        <v>194</v>
      </c>
      <c r="CL2" s="2"/>
      <c r="CM2" s="89" t="s">
        <v>193</v>
      </c>
      <c r="CN2" s="2"/>
      <c r="CO2" s="89" t="s">
        <v>192</v>
      </c>
      <c r="CP2" s="2"/>
      <c r="CQ2" s="89" t="s">
        <v>195</v>
      </c>
      <c r="CR2" s="2"/>
      <c r="CS2" s="90" t="s">
        <v>194</v>
      </c>
      <c r="CT2" s="2"/>
      <c r="CU2" s="89" t="s">
        <v>193</v>
      </c>
      <c r="CV2" s="2"/>
      <c r="CW2" s="89" t="s">
        <v>192</v>
      </c>
      <c r="CX2" s="2"/>
      <c r="CY2" s="90" t="s">
        <v>194</v>
      </c>
      <c r="CZ2" s="2"/>
      <c r="DA2" s="90" t="s">
        <v>194</v>
      </c>
      <c r="DB2" s="72"/>
      <c r="DC2" s="91" t="s">
        <v>58</v>
      </c>
      <c r="DD2" s="92"/>
      <c r="DE2" s="91" t="s">
        <v>58</v>
      </c>
      <c r="DF2" s="92"/>
      <c r="DG2" s="91" t="s">
        <v>58</v>
      </c>
      <c r="DH2" s="92"/>
      <c r="DI2" s="91" t="s">
        <v>58</v>
      </c>
      <c r="DJ2" s="92"/>
      <c r="DK2" s="91" t="s">
        <v>58</v>
      </c>
      <c r="DL2" s="92"/>
      <c r="DM2" s="91" t="s">
        <v>58</v>
      </c>
      <c r="DN2" s="92"/>
      <c r="DO2" s="91" t="s">
        <v>58</v>
      </c>
      <c r="DP2" s="92"/>
      <c r="DQ2" s="91" t="s">
        <v>58</v>
      </c>
      <c r="DR2" s="92"/>
      <c r="DS2" s="91" t="s">
        <v>58</v>
      </c>
      <c r="DT2" s="92"/>
      <c r="DU2" s="91" t="s">
        <v>58</v>
      </c>
      <c r="DV2" s="92"/>
      <c r="DW2" s="91" t="s">
        <v>58</v>
      </c>
      <c r="DX2" s="92"/>
      <c r="DY2" s="91" t="s">
        <v>58</v>
      </c>
      <c r="DZ2" s="92"/>
      <c r="EA2" s="91" t="s">
        <v>58</v>
      </c>
      <c r="EB2" s="92"/>
      <c r="EC2" s="91" t="s">
        <v>58</v>
      </c>
      <c r="ED2" s="92"/>
      <c r="EE2" s="91" t="s">
        <v>58</v>
      </c>
      <c r="EF2" s="92"/>
      <c r="EG2" s="91" t="s">
        <v>58</v>
      </c>
      <c r="EH2" s="92"/>
      <c r="EI2" s="91" t="s">
        <v>58</v>
      </c>
      <c r="EJ2" s="92"/>
      <c r="EK2" s="91" t="s">
        <v>58</v>
      </c>
      <c r="EL2" s="92"/>
      <c r="EM2" s="91" t="s">
        <v>58</v>
      </c>
      <c r="EN2" s="92"/>
      <c r="EO2" s="91" t="s">
        <v>58</v>
      </c>
      <c r="EP2" s="92"/>
      <c r="EQ2" s="91" t="s">
        <v>58</v>
      </c>
      <c r="ER2" s="92"/>
      <c r="ES2" s="91" t="s">
        <v>58</v>
      </c>
      <c r="ET2" s="92"/>
      <c r="EU2" s="91" t="s">
        <v>58</v>
      </c>
      <c r="EV2" s="92"/>
      <c r="EW2" s="91" t="s">
        <v>58</v>
      </c>
      <c r="EX2" s="92"/>
      <c r="EY2" s="91" t="s">
        <v>58</v>
      </c>
      <c r="EZ2" s="92"/>
      <c r="FA2" s="91" t="s">
        <v>58</v>
      </c>
      <c r="FB2" s="92"/>
      <c r="FC2" s="91" t="s">
        <v>58</v>
      </c>
      <c r="FD2" s="92"/>
      <c r="FE2" s="91" t="s">
        <v>58</v>
      </c>
      <c r="FF2" s="92"/>
      <c r="FG2" s="91" t="s">
        <v>58</v>
      </c>
      <c r="FH2" s="92"/>
      <c r="FI2" s="91" t="s">
        <v>58</v>
      </c>
      <c r="FJ2" s="92"/>
      <c r="FK2" s="91" t="s">
        <v>58</v>
      </c>
      <c r="FL2" s="92"/>
      <c r="FM2" s="91" t="s">
        <v>58</v>
      </c>
      <c r="FN2" s="92"/>
      <c r="FO2" s="91" t="s">
        <v>58</v>
      </c>
      <c r="FP2" s="92"/>
      <c r="FQ2" s="91" t="s">
        <v>58</v>
      </c>
      <c r="FR2" s="92"/>
      <c r="FS2" s="91" t="s">
        <v>58</v>
      </c>
      <c r="FU2" s="91" t="s">
        <v>58</v>
      </c>
      <c r="FW2" s="91" t="s">
        <v>58</v>
      </c>
      <c r="FY2" s="91" t="s">
        <v>58</v>
      </c>
      <c r="GA2" s="91" t="s">
        <v>58</v>
      </c>
      <c r="GC2" s="91" t="s">
        <v>58</v>
      </c>
      <c r="GE2" s="91" t="s">
        <v>58</v>
      </c>
      <c r="GG2" s="91" t="s">
        <v>58</v>
      </c>
      <c r="GI2" s="91" t="s">
        <v>58</v>
      </c>
      <c r="GK2" s="91" t="s">
        <v>58</v>
      </c>
      <c r="GM2" s="91" t="s">
        <v>58</v>
      </c>
      <c r="GO2" s="91" t="s">
        <v>58</v>
      </c>
      <c r="GQ2" s="91" t="s">
        <v>58</v>
      </c>
      <c r="GS2" s="91" t="s">
        <v>58</v>
      </c>
      <c r="GU2" s="91" t="s">
        <v>58</v>
      </c>
    </row>
    <row r="3" spans="1:203">
      <c r="A3" s="95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</row>
    <row r="4" spans="1:203" ht="13">
      <c r="A4" s="106" t="s">
        <v>89</v>
      </c>
    </row>
    <row r="5" spans="1:203">
      <c r="A5" s="38" t="s">
        <v>70</v>
      </c>
      <c r="C5" s="29"/>
      <c r="E5" s="29"/>
      <c r="G5" s="29"/>
      <c r="I5" s="29">
        <f>'Rachunek Skonsol'!J29</f>
        <v>40975700.97516375</v>
      </c>
      <c r="K5" s="29">
        <f>'Rachunek Skonsol'!L29</f>
        <v>103908175.22083984</v>
      </c>
      <c r="M5" s="29">
        <f>'Rachunek Skonsol'!N29</f>
        <v>79601789.669259831</v>
      </c>
      <c r="O5" s="29">
        <f>'Rachunek Skonsol'!P29</f>
        <v>58898468.49000001</v>
      </c>
      <c r="Q5" s="29">
        <f>'Rachunek Skonsol'!R29</f>
        <v>43600466.415914431</v>
      </c>
      <c r="S5" s="29">
        <f>'Rachunek Skonsol'!T29</f>
        <v>65674902.80629237</v>
      </c>
      <c r="U5" s="29">
        <f>'Rachunek Skonsol'!V29</f>
        <v>46043976.779305488</v>
      </c>
      <c r="W5" s="29">
        <f>'Rachunek Skonsol'!X29</f>
        <v>28745114.026112989</v>
      </c>
      <c r="Y5" s="29">
        <f>'Rachunek Skonsol'!Z29</f>
        <v>23889522.539799407</v>
      </c>
      <c r="AA5" s="29">
        <f>'Rachunek Skonsol'!AB29</f>
        <v>12288921.686115876</v>
      </c>
      <c r="AC5" s="29">
        <f>'Rachunek Skonsol'!AD29</f>
        <v>9129804.732632434</v>
      </c>
      <c r="AE5" s="29">
        <f>'Rachunek Skonsol'!AF29</f>
        <v>8331012.0217991555</v>
      </c>
      <c r="AG5" s="29">
        <f>'Rachunek Skonsol'!AH29</f>
        <v>2218824.8082008772</v>
      </c>
      <c r="AI5" s="29">
        <f>'Rachunek Skonsol'!AJ29</f>
        <v>10221411.712999988</v>
      </c>
      <c r="AK5" s="29">
        <f>'Rachunek Skonsol'!AL29</f>
        <v>6507323.2469061594</v>
      </c>
      <c r="AM5" s="29">
        <f>'Rachunek Skonsol'!AN29</f>
        <v>7046367.9538111379</v>
      </c>
      <c r="AO5" s="29">
        <f>'Rachunek Skonsol'!AP29</f>
        <v>4485950.3253001589</v>
      </c>
      <c r="AQ5" s="29">
        <f>'Rachunek Skonsol'!AR29</f>
        <v>11093134.360667979</v>
      </c>
      <c r="AS5" s="29">
        <f>'Rachunek Skonsol'!AT29</f>
        <v>7655124.8075636262</v>
      </c>
      <c r="AU5" s="29">
        <f>'Rachunek Skonsol'!AV29</f>
        <v>6173534.2553553525</v>
      </c>
      <c r="AW5" s="29">
        <f>'Rachunek Skonsol'!AX29</f>
        <v>3172570.0593434861</v>
      </c>
      <c r="AY5" s="29">
        <f>'Rachunek Skonsol'!AZ29</f>
        <v>11767107.228000019</v>
      </c>
      <c r="BA5" s="29">
        <v>11756009.41850001</v>
      </c>
      <c r="BC5" s="29">
        <v>11692226.659392923</v>
      </c>
      <c r="BE5" s="29">
        <v>10265983.099892924</v>
      </c>
      <c r="BG5" s="29">
        <v>10712069.731933307</v>
      </c>
      <c r="BI5" s="29">
        <v>13918142.419975013</v>
      </c>
      <c r="BK5" s="29">
        <v>12557753.802499983</v>
      </c>
      <c r="BM5" s="29">
        <v>5087120.7402083343</v>
      </c>
      <c r="BO5" s="29">
        <v>1147982.3860833396</v>
      </c>
      <c r="BQ5" s="29">
        <v>596666.31000000203</v>
      </c>
      <c r="BS5" s="29">
        <v>162290.56999999928</v>
      </c>
      <c r="BU5" s="29">
        <v>1951536.0050000038</v>
      </c>
      <c r="BW5" s="29">
        <v>832510.3199999982</v>
      </c>
      <c r="BY5" s="29">
        <v>393172.86000000424</v>
      </c>
      <c r="CA5" s="29">
        <v>-99402.830000000453</v>
      </c>
      <c r="CC5" s="29">
        <v>-1180674.799999983</v>
      </c>
      <c r="CE5" s="29">
        <v>-1773506.04</v>
      </c>
      <c r="CG5" s="29">
        <v>-3814429.0600000015</v>
      </c>
      <c r="CI5" s="29">
        <v>-1026057.2899999991</v>
      </c>
      <c r="CK5" s="29">
        <f>'Rachunek Skonsol'!CL29</f>
        <v>4187809.4899999923</v>
      </c>
      <c r="CM5" s="29">
        <v>2159142.9284523781</v>
      </c>
      <c r="CO5" s="29">
        <v>1064551.7930284033</v>
      </c>
      <c r="CQ5" s="29">
        <v>237856.2230564105</v>
      </c>
      <c r="CS5" s="29">
        <v>9209454.4571698289</v>
      </c>
      <c r="CU5" s="29">
        <v>4008834.8389291549</v>
      </c>
      <c r="CW5" s="29">
        <v>839710.12118960847</v>
      </c>
      <c r="CY5" s="29">
        <v>-1009046.7551121177</v>
      </c>
      <c r="DA5" s="29">
        <v>-1690557.0500000049</v>
      </c>
      <c r="DC5" s="29"/>
      <c r="DD5" s="5"/>
      <c r="DE5" s="29"/>
      <c r="DF5" s="5"/>
      <c r="DG5" s="29"/>
      <c r="DH5" s="5"/>
      <c r="DI5" s="29">
        <f>I5</f>
        <v>40975700.97516375</v>
      </c>
      <c r="DJ5" s="5"/>
      <c r="DK5" s="29">
        <f>K5-M5</f>
        <v>24306385.551580012</v>
      </c>
      <c r="DL5" s="5"/>
      <c r="DM5" s="29">
        <f>M5-O5</f>
        <v>20703321.179259822</v>
      </c>
      <c r="DN5" s="5"/>
      <c r="DO5" s="29">
        <f>O5-Q5</f>
        <v>15298002.074085578</v>
      </c>
      <c r="DP5" s="5"/>
      <c r="DQ5" s="29">
        <f>Q5</f>
        <v>43600466.415914431</v>
      </c>
      <c r="DR5" s="5"/>
      <c r="DS5" s="29">
        <f>S5-U5</f>
        <v>19630926.026986882</v>
      </c>
      <c r="DT5" s="5"/>
      <c r="DU5" s="29">
        <f>U5-W5</f>
        <v>17298862.753192499</v>
      </c>
      <c r="DV5" s="5"/>
      <c r="DW5" s="29">
        <f>W5-Y5</f>
        <v>4855591.4863135815</v>
      </c>
      <c r="DX5" s="5"/>
      <c r="DY5" s="29">
        <f t="shared" ref="DY5" si="0">Y5</f>
        <v>23889522.539799407</v>
      </c>
      <c r="DZ5" s="5"/>
      <c r="EA5" s="29">
        <f>'Rachunek Skonsol'!EB29</f>
        <v>3159116.953483419</v>
      </c>
      <c r="EB5" s="5"/>
      <c r="EC5" s="29">
        <f>'Rachunek Skonsol'!ED29</f>
        <v>798792.71083329257</v>
      </c>
      <c r="ED5" s="5"/>
      <c r="EE5" s="29">
        <f>'Rachunek Skonsol'!EF29</f>
        <v>6112187.2135982737</v>
      </c>
      <c r="EF5" s="5"/>
      <c r="EG5" s="29">
        <f>'Rachunek Skonsol'!EH29</f>
        <v>2218824.8082008772</v>
      </c>
      <c r="EH5" s="5"/>
      <c r="EI5" s="29">
        <f>AI5-AK5</f>
        <v>3714088.4660938289</v>
      </c>
      <c r="EJ5" s="5"/>
      <c r="EK5" s="29">
        <f>AK5-AM5</f>
        <v>-539044.70690497849</v>
      </c>
      <c r="EL5" s="5"/>
      <c r="EM5" s="29">
        <f>AM5-AO5</f>
        <v>2560417.628510979</v>
      </c>
      <c r="EN5" s="5"/>
      <c r="EO5" s="29">
        <f>AO5</f>
        <v>4485950.3253001589</v>
      </c>
      <c r="EP5" s="5"/>
      <c r="EQ5" s="29">
        <f>AQ5-AS5</f>
        <v>3438009.5531043531</v>
      </c>
      <c r="ER5" s="5"/>
      <c r="ES5" s="29">
        <f>AS5-AU5</f>
        <v>1481590.5522082737</v>
      </c>
      <c r="ET5" s="5"/>
      <c r="EU5" s="29">
        <f>AU5-AW5</f>
        <v>3000964.1960118664</v>
      </c>
      <c r="EV5" s="5"/>
      <c r="EW5" s="29">
        <f>AW5</f>
        <v>3172570.0593434861</v>
      </c>
      <c r="EX5" s="5"/>
      <c r="EY5" s="29">
        <f>AY5-BA5</f>
        <v>11097.809500008821</v>
      </c>
      <c r="EZ5" s="5"/>
      <c r="FA5" s="29">
        <f>BA5-BC5</f>
        <v>63782.759107086807</v>
      </c>
      <c r="FB5" s="5"/>
      <c r="FC5" s="29">
        <f>BC5-BE5</f>
        <v>1426243.5594999995</v>
      </c>
      <c r="FD5" s="5"/>
      <c r="FE5" s="29">
        <f>BE5</f>
        <v>10265983.099892924</v>
      </c>
      <c r="FF5" s="5"/>
      <c r="FG5" s="29">
        <v>-905162.76804170548</v>
      </c>
      <c r="FH5" s="5"/>
      <c r="FI5" s="29">
        <f>BI5-BK5</f>
        <v>1360388.6174750291</v>
      </c>
      <c r="FJ5" s="5"/>
      <c r="FK5" s="29">
        <f>BK5-BM5</f>
        <v>7470633.0622916492</v>
      </c>
      <c r="FL5" s="5"/>
      <c r="FM5" s="29">
        <f>BM5-BO5</f>
        <v>3939138.3541249949</v>
      </c>
      <c r="FN5" s="5"/>
      <c r="FO5" s="29">
        <f>BO5-BQ5</f>
        <v>551316.07608333754</v>
      </c>
      <c r="FP5" s="5"/>
      <c r="FQ5" s="29">
        <f>BQ5-BS5</f>
        <v>434375.74000000278</v>
      </c>
      <c r="FR5" s="5"/>
      <c r="FS5" s="29">
        <f>BS5</f>
        <v>162290.56999999928</v>
      </c>
      <c r="FT5" s="5"/>
      <c r="FU5" s="29">
        <f>BU5-BW5</f>
        <v>1119025.6850000056</v>
      </c>
      <c r="FV5" s="5"/>
      <c r="FW5" s="29">
        <f>BW5-BY5</f>
        <v>439337.45999999397</v>
      </c>
      <c r="FX5" s="5"/>
      <c r="FY5" s="29">
        <f>BY5-CA5</f>
        <v>492575.69000000472</v>
      </c>
      <c r="FZ5" s="5"/>
      <c r="GA5" s="29">
        <f>CA5</f>
        <v>-99402.830000000453</v>
      </c>
      <c r="GB5" s="5"/>
      <c r="GC5" s="29">
        <f>CC5-CE5</f>
        <v>592831.24000001699</v>
      </c>
      <c r="GD5" s="5"/>
      <c r="GE5" s="29">
        <f>CE5-CG5</f>
        <v>2040923.0200000014</v>
      </c>
      <c r="GF5" s="5"/>
      <c r="GG5" s="29">
        <f>CG5-CI5</f>
        <v>-2788371.7700000023</v>
      </c>
      <c r="GH5" s="5"/>
      <c r="GI5" s="29">
        <f>CI5</f>
        <v>-1026057.2899999991</v>
      </c>
      <c r="GJ5" s="5"/>
      <c r="GK5" s="29">
        <f>CK5-CM5</f>
        <v>2028666.5615476142</v>
      </c>
      <c r="GL5" s="5"/>
      <c r="GM5" s="29">
        <f>CM5-CO5</f>
        <v>1094591.1354239748</v>
      </c>
      <c r="GN5" s="5"/>
      <c r="GO5" s="29">
        <f>CO5-CQ5</f>
        <v>826695.56997199287</v>
      </c>
      <c r="GP5" s="5"/>
      <c r="GQ5" s="29">
        <f>CQ5</f>
        <v>237856.2230564105</v>
      </c>
      <c r="GR5" s="5"/>
      <c r="GS5" s="29">
        <f>CS5-CU5</f>
        <v>5200619.618240674</v>
      </c>
      <c r="GT5" s="5"/>
      <c r="GU5" s="29">
        <f>CU5-CW5</f>
        <v>3169124.7177395467</v>
      </c>
    </row>
    <row r="6" spans="1:203">
      <c r="A6" s="38" t="s">
        <v>90</v>
      </c>
      <c r="C6" s="29"/>
      <c r="E6" s="29"/>
      <c r="G6" s="29"/>
      <c r="I6" s="29">
        <f>SUM(I7:I22)</f>
        <v>68692004.010938391</v>
      </c>
      <c r="K6" s="29">
        <f>SUM(K7:K22)</f>
        <v>-14298802.220000003</v>
      </c>
      <c r="M6" s="29">
        <f>SUM(M7:M22)</f>
        <v>-14579278.606550412</v>
      </c>
      <c r="O6" s="29">
        <f>SUM(O7:O22)</f>
        <v>-10110001.391568013</v>
      </c>
      <c r="Q6" s="29">
        <f>SUM(Q7:Q22)</f>
        <v>78429405.484530091</v>
      </c>
      <c r="S6" s="29">
        <f>SUM(S7:S22)</f>
        <v>30452690.122818206</v>
      </c>
      <c r="U6" s="29">
        <f>SUM(U7:U22)</f>
        <v>-3199414.1049279328</v>
      </c>
      <c r="W6" s="29">
        <f>SUM(W7:W22)</f>
        <v>19349026.61694435</v>
      </c>
      <c r="Y6" s="29">
        <f>SUM(Y7:Y22)</f>
        <v>21610783.838584613</v>
      </c>
      <c r="AA6" s="29">
        <f>SUM(AA7:AA22)</f>
        <v>-18472703.544252258</v>
      </c>
      <c r="AC6" s="29">
        <f>SUM(AC7:AC22)</f>
        <v>-15547490.224430719</v>
      </c>
      <c r="AE6" s="29">
        <f>SUM(AE7:AE22)</f>
        <v>-21755364.165694706</v>
      </c>
      <c r="AG6" s="29">
        <f>SUM(AG7:AG22)</f>
        <v>19094168.063186936</v>
      </c>
      <c r="AI6" s="29">
        <f>SUM(AI7:AI22)</f>
        <v>11488890.373208525</v>
      </c>
      <c r="AK6" s="29">
        <f>SUM(AK7:AK22)</f>
        <v>7473078.4731683536</v>
      </c>
      <c r="AM6" s="29">
        <f>SUM(AM7:AM22)</f>
        <v>5037200.654563427</v>
      </c>
      <c r="AO6" s="29">
        <f>SUM(AO7:AO22)</f>
        <v>8154860.3128719367</v>
      </c>
      <c r="AQ6" s="29">
        <f>SUM(AQ7:AQ22)</f>
        <v>2834703.8630506154</v>
      </c>
      <c r="AS6" s="29">
        <f>SUM(AS7:AS22)</f>
        <v>73127.011178160785</v>
      </c>
      <c r="AU6" s="29">
        <f>SUM(AU7:AU22)</f>
        <v>-9393944.9154099114</v>
      </c>
      <c r="AW6" s="29">
        <f>SUM(AW7:AW22)</f>
        <v>8054783.8289768118</v>
      </c>
      <c r="AY6" s="29">
        <f>SUM(AY7:AY22)</f>
        <v>1780096.6188151361</v>
      </c>
      <c r="BA6" s="29">
        <f>SUM(BA7:BA22)</f>
        <v>-2109122.0453849952</v>
      </c>
      <c r="BC6" s="29">
        <f>SUM(BC7:BC22)</f>
        <v>4045638.8837220804</v>
      </c>
      <c r="BE6" s="29">
        <f>SUM(BE7:BE22)</f>
        <v>17549409.269307084</v>
      </c>
      <c r="BG6" s="29">
        <v>-5487630.9880816601</v>
      </c>
      <c r="BI6" s="29">
        <f>SUM(BI7:BI22)</f>
        <v>-15218078.099975027</v>
      </c>
      <c r="BK6" s="29">
        <f>SUM(BK7:BK22)</f>
        <v>-14331477.331699952</v>
      </c>
      <c r="BM6" s="29">
        <f>SUM(BM7:BM22)</f>
        <v>9682198.724791646</v>
      </c>
      <c r="BO6" s="29">
        <f>SUM(BO7:BO22)</f>
        <v>-8946031.8879391681</v>
      </c>
      <c r="BQ6" s="29">
        <f>SUM(BQ7:BQ22)</f>
        <v>-6345064.5591999991</v>
      </c>
      <c r="BS6" s="29">
        <f>SUM(BS7:BS22)</f>
        <v>-5915706.0799999991</v>
      </c>
      <c r="BU6" s="29">
        <f>SUM(BU7:BU22)</f>
        <v>-10013183.869999999</v>
      </c>
      <c r="BW6" s="29">
        <f>SUM(BW7:BW22)</f>
        <v>-15904079.559999991</v>
      </c>
      <c r="BY6" s="29">
        <f>SUM(BY7:BY22)</f>
        <v>-11916213.500000004</v>
      </c>
      <c r="CA6" s="29">
        <f>SUM(CA7:CA22)</f>
        <v>-12815828.150000006</v>
      </c>
      <c r="CC6" s="29">
        <f>SUM(CC7:CC22)</f>
        <v>6903238.2600000007</v>
      </c>
      <c r="CE6" s="29">
        <f>SUM(CE7:CE22)</f>
        <v>-2150721.5799999991</v>
      </c>
      <c r="CG6" s="29">
        <v>-14026080.009999998</v>
      </c>
      <c r="CI6" s="29">
        <v>-11042984.379999999</v>
      </c>
      <c r="CK6" s="29">
        <f>SUM(CK7:CK22)</f>
        <v>7774453.8144935919</v>
      </c>
      <c r="CM6" s="29">
        <f>SUM(CM7:CM22)</f>
        <v>-16687258.151463294</v>
      </c>
      <c r="CO6" s="29">
        <f>SUM(CO7:CO22)</f>
        <v>-12024976.819019234</v>
      </c>
      <c r="CQ6" s="29">
        <f>SUM(CQ7:CQ22)</f>
        <v>-12392800.930536874</v>
      </c>
      <c r="CS6" s="29">
        <f>SUM(CS7:CS22)</f>
        <v>-1885332.9394606487</v>
      </c>
      <c r="CU6" s="29">
        <f>SUM(CU7:CU22)</f>
        <v>-10814123.129867969</v>
      </c>
      <c r="CW6" s="29">
        <f>SUM(CW7:CW22)</f>
        <v>-8253958.010107466</v>
      </c>
      <c r="CY6" s="29">
        <f>SUM(CY7:CY22)</f>
        <v>3948149.9280828941</v>
      </c>
      <c r="DA6" s="29">
        <f>SUM(DA7:DA22)</f>
        <v>8081842.0419000043</v>
      </c>
      <c r="DC6" s="29"/>
      <c r="DD6" s="5"/>
      <c r="DE6" s="29"/>
      <c r="DF6" s="5"/>
      <c r="DG6" s="29"/>
      <c r="DH6" s="5"/>
      <c r="DI6" s="29">
        <f t="shared" ref="DI6:DI22" si="1">I6</f>
        <v>68692004.010938391</v>
      </c>
      <c r="DJ6" s="5"/>
      <c r="DK6" s="29">
        <f>SUM(DK7:DK22)</f>
        <v>280476.38655040844</v>
      </c>
      <c r="DL6" s="5"/>
      <c r="DM6" s="29">
        <f>SUM(DM7:DM22)</f>
        <v>-4469277.2149824025</v>
      </c>
      <c r="DN6" s="5"/>
      <c r="DO6" s="29">
        <f>SUM(DO7:DO22)</f>
        <v>-88539406.876098096</v>
      </c>
      <c r="DP6" s="5"/>
      <c r="DQ6" s="29">
        <f t="shared" ref="DQ6:DQ22" si="2">Q6</f>
        <v>78429405.484530091</v>
      </c>
      <c r="DR6" s="5"/>
      <c r="DS6" s="29">
        <f t="shared" ref="DS6:DW22" si="3">S6-U6</f>
        <v>33652104.227746136</v>
      </c>
      <c r="DT6" s="5"/>
      <c r="DU6" s="29">
        <f t="shared" si="3"/>
        <v>-22548440.721872285</v>
      </c>
      <c r="DV6" s="5"/>
      <c r="DW6" s="29">
        <f t="shared" si="3"/>
        <v>-2261757.2216402628</v>
      </c>
      <c r="DX6" s="5"/>
      <c r="DY6" s="29">
        <f t="shared" ref="DY6:DY22" si="4">Y6</f>
        <v>21610783.838584613</v>
      </c>
      <c r="DZ6" s="5"/>
      <c r="EA6" s="29">
        <f>SUM(EA7:EA22)</f>
        <v>-2925213.3198215347</v>
      </c>
      <c r="EB6" s="5"/>
      <c r="EC6" s="29">
        <f>SUM(EC7:EC22)</f>
        <v>6207873.9412639886</v>
      </c>
      <c r="ED6" s="5"/>
      <c r="EE6" s="29">
        <f>SUM(EE7:EE22)</f>
        <v>-40849532.228881657</v>
      </c>
      <c r="EF6" s="5"/>
      <c r="EG6" s="29">
        <f>SUM(EG7:EG22)</f>
        <v>19094168.063186936</v>
      </c>
      <c r="EH6" s="5"/>
      <c r="EI6" s="29">
        <f>SUM(EI7:EI22)</f>
        <v>4015811.9000401702</v>
      </c>
      <c r="EJ6" s="5"/>
      <c r="EK6" s="29">
        <f>SUM(EK7:EK22)</f>
        <v>2435877.8186049284</v>
      </c>
      <c r="EL6" s="5"/>
      <c r="EM6" s="29">
        <f>SUM(EM7:EM22)</f>
        <v>-3117659.6583085116</v>
      </c>
      <c r="EN6" s="5"/>
      <c r="EO6" s="29">
        <f>SUM(EO7:EO22)</f>
        <v>8154860.3128719367</v>
      </c>
      <c r="EP6" s="5"/>
      <c r="EQ6" s="29">
        <f t="shared" ref="EQ6:EQ23" si="5">AQ6-AS6</f>
        <v>2761576.8518724544</v>
      </c>
      <c r="ER6" s="5"/>
      <c r="ES6" s="29">
        <f t="shared" ref="ES6:ES23" si="6">AS6-AU6</f>
        <v>9467071.9265880715</v>
      </c>
      <c r="ET6" s="5"/>
      <c r="EU6" s="29">
        <f t="shared" ref="EU6:EU23" si="7">AU6-AW6</f>
        <v>-17448728.744386725</v>
      </c>
      <c r="EV6" s="5"/>
      <c r="EW6" s="29">
        <f t="shared" ref="EW6:EW20" si="8">AW6</f>
        <v>8054783.8289768118</v>
      </c>
      <c r="EX6" s="5"/>
      <c r="EY6" s="29">
        <f t="shared" ref="EY6:FC23" si="9">AY6-BA6</f>
        <v>3889218.6642001313</v>
      </c>
      <c r="EZ6" s="5"/>
      <c r="FA6" s="29">
        <f t="shared" si="9"/>
        <v>-6154760.9291070756</v>
      </c>
      <c r="FB6" s="5"/>
      <c r="FC6" s="29">
        <f t="shared" si="9"/>
        <v>-13503770.385585004</v>
      </c>
      <c r="FD6" s="5"/>
      <c r="FE6" s="29">
        <f t="shared" ref="FE6:FE23" si="10">BE6</f>
        <v>17549409.269307084</v>
      </c>
      <c r="FF6" s="5"/>
      <c r="FG6" s="29">
        <f>SUM(FG7:FG22)</f>
        <v>8531770.2618933655</v>
      </c>
      <c r="FH6" s="5"/>
      <c r="FI6" s="29">
        <f t="shared" ref="FI6:FK23" si="11">BI6-BK6</f>
        <v>-886600.76827507466</v>
      </c>
      <c r="FJ6" s="5"/>
      <c r="FK6" s="29">
        <f t="shared" si="11"/>
        <v>-24013676.056491598</v>
      </c>
      <c r="FL6" s="5"/>
      <c r="FM6" s="29">
        <f t="shared" ref="FM6:FM23" si="12">BM6-BO6</f>
        <v>18628230.612730816</v>
      </c>
      <c r="FN6" s="5"/>
      <c r="FO6" s="29">
        <f t="shared" ref="FO6:FO23" si="13">BO6-BQ6</f>
        <v>-2600967.3287391691</v>
      </c>
      <c r="FP6" s="5"/>
      <c r="FQ6" s="29">
        <f t="shared" ref="FQ6:FQ23" si="14">BQ6-BS6</f>
        <v>-429358.47919999994</v>
      </c>
      <c r="FR6" s="5"/>
      <c r="FS6" s="29">
        <f t="shared" ref="FS6:FS23" si="15">BS6</f>
        <v>-5915706.0799999991</v>
      </c>
      <c r="FT6" s="5"/>
      <c r="FU6" s="29">
        <f t="shared" ref="FU6:FY23" si="16">BU6-BW6</f>
        <v>5890895.689999992</v>
      </c>
      <c r="FV6" s="5"/>
      <c r="FW6" s="29">
        <f t="shared" si="16"/>
        <v>-3987866.0599999875</v>
      </c>
      <c r="FX6" s="5"/>
      <c r="FY6" s="29">
        <f t="shared" si="16"/>
        <v>899614.65000000224</v>
      </c>
      <c r="FZ6" s="5"/>
      <c r="GA6" s="29">
        <f t="shared" ref="GA6:GA23" si="17">CA6</f>
        <v>-12815828.150000006</v>
      </c>
      <c r="GB6" s="5"/>
      <c r="GC6" s="29">
        <f t="shared" ref="GC6:GG23" si="18">CC6-CE6</f>
        <v>9053959.8399999999</v>
      </c>
      <c r="GD6" s="5"/>
      <c r="GE6" s="29">
        <f t="shared" si="18"/>
        <v>11875358.43</v>
      </c>
      <c r="GF6" s="5"/>
      <c r="GG6" s="29">
        <f t="shared" si="18"/>
        <v>-2983095.629999999</v>
      </c>
      <c r="GH6" s="5"/>
      <c r="GI6" s="29">
        <f t="shared" ref="GI6:GI23" si="19">CI6</f>
        <v>-11042984.379999999</v>
      </c>
      <c r="GJ6" s="5"/>
      <c r="GK6" s="29">
        <f t="shared" ref="GK6:GM23" si="20">CK6-CM6</f>
        <v>24461711.965956885</v>
      </c>
      <c r="GL6" s="5"/>
      <c r="GM6" s="29">
        <f t="shared" si="20"/>
        <v>-4662281.3324440606</v>
      </c>
      <c r="GN6" s="5"/>
      <c r="GO6" s="29">
        <f t="shared" ref="GO6:GO23" si="21">CO6-CQ6</f>
        <v>367824.11151763983</v>
      </c>
      <c r="GP6" s="5"/>
      <c r="GQ6" s="29">
        <f t="shared" ref="GQ6:GQ23" si="22">CQ6</f>
        <v>-12392800.930536874</v>
      </c>
      <c r="GR6" s="5"/>
      <c r="GS6" s="29">
        <f t="shared" ref="GS6:GU23" si="23">CS6-CU6</f>
        <v>8928790.1904073209</v>
      </c>
      <c r="GT6" s="5"/>
      <c r="GU6" s="29">
        <f t="shared" si="23"/>
        <v>-2560165.1197605031</v>
      </c>
    </row>
    <row r="7" spans="1:203">
      <c r="A7" s="96" t="s">
        <v>62</v>
      </c>
      <c r="C7" s="29"/>
      <c r="E7" s="29"/>
      <c r="G7" s="29"/>
      <c r="I7" s="29">
        <v>4990178.2267404096</v>
      </c>
      <c r="K7" s="29">
        <v>16533066.449999999</v>
      </c>
      <c r="M7" s="29">
        <v>11865260.350126253</v>
      </c>
      <c r="O7" s="29">
        <v>7933127.2565784203</v>
      </c>
      <c r="Q7" s="29">
        <v>3946245.2553768107</v>
      </c>
      <c r="S7" s="29">
        <v>14778067.1928182</v>
      </c>
      <c r="U7" s="29">
        <v>10884864.448444633</v>
      </c>
      <c r="W7" s="29">
        <v>7068862.0237887502</v>
      </c>
      <c r="Y7" s="29">
        <v>3414092.7805945883</v>
      </c>
      <c r="AA7" s="29">
        <v>12039471.724116094</v>
      </c>
      <c r="AC7" s="29">
        <v>8472236.5663888678</v>
      </c>
      <c r="AE7" s="29">
        <v>5086553.1031200076</v>
      </c>
      <c r="AG7" s="29">
        <v>2080123.4975352318</v>
      </c>
      <c r="AI7" s="29">
        <v>7974841.9000000004</v>
      </c>
      <c r="AK7" s="29">
        <v>5947199.0798109239</v>
      </c>
      <c r="AM7" s="29">
        <v>3844139.4973549205</v>
      </c>
      <c r="AO7" s="29">
        <v>1809698.1521634522</v>
      </c>
      <c r="AQ7" s="29">
        <v>6536443.0292955954</v>
      </c>
      <c r="AS7" s="29">
        <v>4793140.9929231144</v>
      </c>
      <c r="AU7" s="29">
        <v>3162437.6468350654</v>
      </c>
      <c r="AW7" s="29">
        <v>1581047.9057400199</v>
      </c>
      <c r="AY7" s="29">
        <v>5236351.07</v>
      </c>
      <c r="BA7" s="29">
        <v>3977472.6149999998</v>
      </c>
      <c r="BC7" s="29">
        <v>2663004.35</v>
      </c>
      <c r="BE7" s="29">
        <v>1335951.5850000002</v>
      </c>
      <c r="BG7" s="29">
        <v>7343158.2400000002</v>
      </c>
      <c r="BI7" s="29">
        <v>4273418.0452916659</v>
      </c>
      <c r="BK7" s="29">
        <v>3207617.9271666668</v>
      </c>
      <c r="BM7" s="29">
        <v>2484634.5085312296</v>
      </c>
      <c r="BO7" s="29">
        <v>1832565.1339166667</v>
      </c>
      <c r="BQ7" s="29">
        <v>1197372.93</v>
      </c>
      <c r="BS7" s="29">
        <v>595759.79999999993</v>
      </c>
      <c r="BU7" s="29">
        <v>2090400.42</v>
      </c>
      <c r="BW7" s="29">
        <v>1589199.75</v>
      </c>
      <c r="BY7" s="29">
        <v>1051188.6199999999</v>
      </c>
      <c r="CA7" s="29">
        <v>545944.28</v>
      </c>
      <c r="CC7" s="29">
        <v>4345658.71</v>
      </c>
      <c r="CE7" s="29">
        <v>3281355.03</v>
      </c>
      <c r="CG7" s="29">
        <v>2174657.4300000002</v>
      </c>
      <c r="CI7" s="29">
        <v>1088796.05</v>
      </c>
      <c r="CK7" s="29">
        <v>3893342.44</v>
      </c>
      <c r="CM7" s="29">
        <v>2832438.6905993093</v>
      </c>
      <c r="CO7" s="29">
        <v>1753625.1170662062</v>
      </c>
      <c r="CQ7" s="29">
        <v>767455.74353310303</v>
      </c>
      <c r="CS7" s="29">
        <v>3044238.4941324098</v>
      </c>
      <c r="CU7" s="29">
        <v>2283614.5905993092</v>
      </c>
      <c r="CW7" s="29">
        <v>1502633.2570662061</v>
      </c>
      <c r="CY7" s="29">
        <v>2957787.8041324099</v>
      </c>
      <c r="DA7" s="29">
        <v>1051047.1400000001</v>
      </c>
      <c r="DC7" s="29"/>
      <c r="DD7" s="5"/>
      <c r="DE7" s="29"/>
      <c r="DF7" s="5"/>
      <c r="DG7" s="29"/>
      <c r="DH7" s="5"/>
      <c r="DI7" s="29">
        <f t="shared" si="1"/>
        <v>4990178.2267404096</v>
      </c>
      <c r="DJ7" s="5"/>
      <c r="DK7" s="29">
        <f t="shared" ref="DK7:DO22" si="24">K7-M7</f>
        <v>4667806.0998737458</v>
      </c>
      <c r="DL7" s="5"/>
      <c r="DM7" s="29">
        <f t="shared" si="24"/>
        <v>3932133.0935478332</v>
      </c>
      <c r="DN7" s="5"/>
      <c r="DO7" s="29">
        <f t="shared" si="24"/>
        <v>3986882.0012016096</v>
      </c>
      <c r="DP7" s="5"/>
      <c r="DQ7" s="29">
        <f t="shared" si="2"/>
        <v>3946245.2553768107</v>
      </c>
      <c r="DR7" s="5"/>
      <c r="DS7" s="29">
        <f t="shared" si="3"/>
        <v>3893202.7443735674</v>
      </c>
      <c r="DT7" s="5"/>
      <c r="DU7" s="29">
        <f t="shared" si="3"/>
        <v>3816002.4246558826</v>
      </c>
      <c r="DV7" s="5"/>
      <c r="DW7" s="29">
        <f t="shared" si="3"/>
        <v>3654769.2431941619</v>
      </c>
      <c r="DX7" s="5"/>
      <c r="DY7" s="29">
        <f t="shared" si="4"/>
        <v>3414092.7805945883</v>
      </c>
      <c r="DZ7" s="5"/>
      <c r="EA7" s="29">
        <f>AA7-AC7</f>
        <v>3567235.1577272266</v>
      </c>
      <c r="EB7" s="5"/>
      <c r="EC7" s="29">
        <f>AC7-AE7</f>
        <v>3385683.4632688602</v>
      </c>
      <c r="ED7" s="5"/>
      <c r="EE7" s="29">
        <f>AE7-AG7</f>
        <v>3006429.605584776</v>
      </c>
      <c r="EF7" s="5"/>
      <c r="EG7" s="29">
        <f>AG7</f>
        <v>2080123.4975352318</v>
      </c>
      <c r="EH7" s="5"/>
      <c r="EI7" s="29">
        <f t="shared" ref="EI7:EM22" si="25">AI7-AK7</f>
        <v>2027642.8201890765</v>
      </c>
      <c r="EJ7" s="5"/>
      <c r="EK7" s="29">
        <f t="shared" si="25"/>
        <v>2103059.5824560034</v>
      </c>
      <c r="EL7" s="5"/>
      <c r="EM7" s="29">
        <f t="shared" si="25"/>
        <v>2034441.3451914683</v>
      </c>
      <c r="EN7" s="5"/>
      <c r="EO7" s="29">
        <f t="shared" ref="EO7:EO22" si="26">AO7</f>
        <v>1809698.1521634522</v>
      </c>
      <c r="EP7" s="5"/>
      <c r="EQ7" s="29">
        <f t="shared" si="5"/>
        <v>1743302.0363724809</v>
      </c>
      <c r="ER7" s="5"/>
      <c r="ES7" s="29">
        <f t="shared" si="6"/>
        <v>1630703.346088049</v>
      </c>
      <c r="ET7" s="5"/>
      <c r="EU7" s="29">
        <f t="shared" si="7"/>
        <v>1581389.7410950456</v>
      </c>
      <c r="EV7" s="5"/>
      <c r="EW7" s="29">
        <f t="shared" si="8"/>
        <v>1581047.9057400199</v>
      </c>
      <c r="EX7" s="5"/>
      <c r="EY7" s="29">
        <f t="shared" si="9"/>
        <v>1258878.4550000005</v>
      </c>
      <c r="EZ7" s="5"/>
      <c r="FA7" s="29">
        <f t="shared" si="9"/>
        <v>1314468.2649999997</v>
      </c>
      <c r="FB7" s="5"/>
      <c r="FC7" s="29">
        <f t="shared" si="9"/>
        <v>1327052.7649999999</v>
      </c>
      <c r="FD7" s="5"/>
      <c r="FE7" s="29">
        <f t="shared" si="10"/>
        <v>1335951.5850000002</v>
      </c>
      <c r="FF7" s="5"/>
      <c r="FG7" s="29">
        <v>1224123.4547083341</v>
      </c>
      <c r="FH7" s="5"/>
      <c r="FI7" s="29">
        <f t="shared" si="11"/>
        <v>1065800.1181249991</v>
      </c>
      <c r="FJ7" s="5"/>
      <c r="FK7" s="29">
        <f t="shared" si="11"/>
        <v>722983.41863543727</v>
      </c>
      <c r="FL7" s="5"/>
      <c r="FM7" s="29">
        <f t="shared" si="12"/>
        <v>652069.37461456284</v>
      </c>
      <c r="FN7" s="5"/>
      <c r="FO7" s="29">
        <f t="shared" si="13"/>
        <v>635192.2039166668</v>
      </c>
      <c r="FP7" s="5"/>
      <c r="FQ7" s="29">
        <f t="shared" si="14"/>
        <v>601613.13</v>
      </c>
      <c r="FR7" s="5"/>
      <c r="FS7" s="29">
        <f t="shared" si="15"/>
        <v>595759.79999999993</v>
      </c>
      <c r="FT7" s="5"/>
      <c r="FU7" s="29">
        <f t="shared" si="16"/>
        <v>501200.66999999993</v>
      </c>
      <c r="FV7" s="5"/>
      <c r="FW7" s="29">
        <f t="shared" si="16"/>
        <v>538011.13000000012</v>
      </c>
      <c r="FX7" s="5"/>
      <c r="FY7" s="29">
        <f t="shared" si="16"/>
        <v>505244.33999999985</v>
      </c>
      <c r="FZ7" s="5"/>
      <c r="GA7" s="29">
        <f t="shared" si="17"/>
        <v>545944.28</v>
      </c>
      <c r="GB7" s="5"/>
      <c r="GC7" s="29">
        <f t="shared" si="18"/>
        <v>1064303.6800000002</v>
      </c>
      <c r="GD7" s="5"/>
      <c r="GE7" s="29">
        <f t="shared" si="18"/>
        <v>1106697.5999999996</v>
      </c>
      <c r="GF7" s="5"/>
      <c r="GG7" s="29">
        <f t="shared" si="18"/>
        <v>1085861.3800000001</v>
      </c>
      <c r="GH7" s="5"/>
      <c r="GI7" s="29">
        <f t="shared" si="19"/>
        <v>1088796.05</v>
      </c>
      <c r="GJ7" s="5"/>
      <c r="GK7" s="29">
        <f t="shared" si="20"/>
        <v>1060903.7494006907</v>
      </c>
      <c r="GL7" s="5"/>
      <c r="GM7" s="29">
        <f t="shared" si="20"/>
        <v>1078813.5735331031</v>
      </c>
      <c r="GN7" s="5"/>
      <c r="GO7" s="29">
        <f t="shared" si="21"/>
        <v>986169.37353310315</v>
      </c>
      <c r="GP7" s="5"/>
      <c r="GQ7" s="29">
        <f t="shared" si="22"/>
        <v>767455.74353310303</v>
      </c>
      <c r="GR7" s="5"/>
      <c r="GS7" s="29">
        <f t="shared" si="23"/>
        <v>760623.90353310062</v>
      </c>
      <c r="GT7" s="5"/>
      <c r="GU7" s="29">
        <f t="shared" si="23"/>
        <v>780981.33353310311</v>
      </c>
    </row>
    <row r="8" spans="1:203">
      <c r="A8" s="96" t="s">
        <v>91</v>
      </c>
      <c r="C8" s="29"/>
      <c r="E8" s="29"/>
      <c r="G8" s="29"/>
      <c r="I8" s="29">
        <v>-250622.25019999995</v>
      </c>
      <c r="K8" s="29">
        <v>-718458.49</v>
      </c>
      <c r="M8" s="29">
        <v>-588112.09730000002</v>
      </c>
      <c r="O8" s="29">
        <v>-351899.25</v>
      </c>
      <c r="Q8" s="29">
        <v>-126110.64339999994</v>
      </c>
      <c r="S8" s="29">
        <v>928052.35</v>
      </c>
      <c r="U8" s="29">
        <v>1156224.1536000001</v>
      </c>
      <c r="W8" s="29">
        <v>1053165.2793999999</v>
      </c>
      <c r="Y8" s="29">
        <v>1011078.72</v>
      </c>
      <c r="AA8" s="29">
        <v>1488627.2386000003</v>
      </c>
      <c r="AC8" s="29">
        <v>661023.06000000006</v>
      </c>
      <c r="AE8" s="29">
        <v>661023.06000000006</v>
      </c>
      <c r="AG8" s="29">
        <v>0</v>
      </c>
      <c r="AI8" s="29">
        <v>106515.08500000001</v>
      </c>
      <c r="AK8" s="29">
        <v>51933.179999999993</v>
      </c>
      <c r="AM8" s="29">
        <v>36933.180000000051</v>
      </c>
      <c r="AO8" s="29">
        <v>7601.1899999998604</v>
      </c>
      <c r="AQ8" s="29">
        <v>315904.065</v>
      </c>
      <c r="AS8" s="29">
        <v>0</v>
      </c>
      <c r="AU8" s="29">
        <v>224792.87</v>
      </c>
      <c r="AW8" s="29">
        <v>118938.575</v>
      </c>
      <c r="AY8" s="29">
        <v>97667.87000000001</v>
      </c>
      <c r="BA8" s="29">
        <v>0</v>
      </c>
      <c r="BC8" s="29">
        <v>0</v>
      </c>
      <c r="BE8" s="29">
        <v>0</v>
      </c>
      <c r="BG8" s="29">
        <v>163384.29</v>
      </c>
      <c r="BI8" s="29">
        <v>0</v>
      </c>
      <c r="BK8" s="29">
        <v>0</v>
      </c>
      <c r="BM8" s="29">
        <v>0</v>
      </c>
      <c r="BO8" s="29">
        <v>0</v>
      </c>
      <c r="BQ8" s="29">
        <v>0</v>
      </c>
      <c r="BS8" s="29">
        <v>0</v>
      </c>
      <c r="BU8" s="29">
        <v>0</v>
      </c>
      <c r="BW8" s="29">
        <v>0</v>
      </c>
      <c r="BY8" s="29">
        <v>0</v>
      </c>
      <c r="CA8" s="29">
        <v>0</v>
      </c>
      <c r="CC8" s="29">
        <v>0</v>
      </c>
      <c r="CE8" s="29">
        <v>0</v>
      </c>
      <c r="CG8" s="29">
        <v>0</v>
      </c>
      <c r="CI8" s="29">
        <v>0</v>
      </c>
      <c r="CK8" s="29">
        <v>0</v>
      </c>
      <c r="CM8" s="29">
        <v>-137445.03</v>
      </c>
      <c r="CO8" s="29">
        <v>-2500</v>
      </c>
      <c r="CQ8" s="29">
        <v>-2500</v>
      </c>
      <c r="CS8" s="29">
        <v>0</v>
      </c>
      <c r="CU8" s="29">
        <v>539.38000000000011</v>
      </c>
      <c r="CW8" s="29">
        <v>379.88999999999987</v>
      </c>
      <c r="CY8" s="29">
        <v>391.24</v>
      </c>
      <c r="DA8" s="29">
        <v>0</v>
      </c>
      <c r="DC8" s="29"/>
      <c r="DD8" s="5"/>
      <c r="DE8" s="29"/>
      <c r="DF8" s="5"/>
      <c r="DG8" s="29"/>
      <c r="DH8" s="5"/>
      <c r="DI8" s="29">
        <f t="shared" si="1"/>
        <v>-250622.25019999995</v>
      </c>
      <c r="DJ8" s="5"/>
      <c r="DK8" s="29">
        <f t="shared" si="24"/>
        <v>-130346.39269999997</v>
      </c>
      <c r="DL8" s="5"/>
      <c r="DM8" s="29">
        <f t="shared" si="24"/>
        <v>-236212.84730000002</v>
      </c>
      <c r="DN8" s="5"/>
      <c r="DO8" s="29">
        <f t="shared" si="24"/>
        <v>-225788.60660000006</v>
      </c>
      <c r="DP8" s="5"/>
      <c r="DQ8" s="29">
        <f t="shared" si="2"/>
        <v>-126110.64339999994</v>
      </c>
      <c r="DR8" s="5"/>
      <c r="DS8" s="29">
        <f t="shared" si="3"/>
        <v>-228171.8036000001</v>
      </c>
      <c r="DT8" s="5"/>
      <c r="DU8" s="29">
        <f t="shared" si="3"/>
        <v>103058.87420000019</v>
      </c>
      <c r="DV8" s="5"/>
      <c r="DW8" s="29">
        <f t="shared" si="3"/>
        <v>42086.559399999911</v>
      </c>
      <c r="DX8" s="5"/>
      <c r="DY8" s="29">
        <f t="shared" si="4"/>
        <v>1011078.72</v>
      </c>
      <c r="DZ8" s="5"/>
      <c r="EA8" s="29">
        <f t="shared" ref="EA8:EE22" si="27">AA8-AC8</f>
        <v>827604.17860000022</v>
      </c>
      <c r="EB8" s="5"/>
      <c r="EC8" s="29">
        <f t="shared" si="27"/>
        <v>0</v>
      </c>
      <c r="ED8" s="5"/>
      <c r="EE8" s="29">
        <f t="shared" si="27"/>
        <v>661023.06000000006</v>
      </c>
      <c r="EF8" s="5"/>
      <c r="EG8" s="29">
        <f t="shared" ref="EG8:EG22" si="28">AG8</f>
        <v>0</v>
      </c>
      <c r="EH8" s="5"/>
      <c r="EI8" s="29">
        <f t="shared" si="25"/>
        <v>54581.905000000013</v>
      </c>
      <c r="EJ8" s="5"/>
      <c r="EK8" s="29">
        <f t="shared" si="25"/>
        <v>14999.999999999942</v>
      </c>
      <c r="EL8" s="5"/>
      <c r="EM8" s="29">
        <f t="shared" si="25"/>
        <v>29331.990000000191</v>
      </c>
      <c r="EN8" s="5"/>
      <c r="EO8" s="29">
        <f t="shared" si="26"/>
        <v>7601.1899999998604</v>
      </c>
      <c r="EP8" s="5"/>
      <c r="EQ8" s="29">
        <f t="shared" si="5"/>
        <v>315904.065</v>
      </c>
      <c r="ER8" s="5"/>
      <c r="ES8" s="29">
        <f t="shared" si="6"/>
        <v>-224792.87</v>
      </c>
      <c r="ET8" s="5"/>
      <c r="EU8" s="29">
        <f t="shared" si="7"/>
        <v>105854.295</v>
      </c>
      <c r="EV8" s="5"/>
      <c r="EW8" s="29">
        <f t="shared" si="8"/>
        <v>118938.575</v>
      </c>
      <c r="EX8" s="5"/>
      <c r="EY8" s="29">
        <f t="shared" si="9"/>
        <v>97667.87000000001</v>
      </c>
      <c r="EZ8" s="5"/>
      <c r="FA8" s="29">
        <f t="shared" si="9"/>
        <v>0</v>
      </c>
      <c r="FB8" s="5"/>
      <c r="FC8" s="29">
        <f t="shared" si="9"/>
        <v>0</v>
      </c>
      <c r="FD8" s="5"/>
      <c r="FE8" s="29">
        <f t="shared" si="10"/>
        <v>0</v>
      </c>
      <c r="FF8" s="5"/>
      <c r="FG8" s="29">
        <v>163384.29</v>
      </c>
      <c r="FH8" s="5"/>
      <c r="FI8" s="29">
        <f t="shared" si="11"/>
        <v>0</v>
      </c>
      <c r="FJ8" s="5"/>
      <c r="FK8" s="29">
        <f t="shared" si="11"/>
        <v>0</v>
      </c>
      <c r="FL8" s="5"/>
      <c r="FM8" s="29">
        <f t="shared" si="12"/>
        <v>0</v>
      </c>
      <c r="FN8" s="5"/>
      <c r="FO8" s="29">
        <f t="shared" si="13"/>
        <v>0</v>
      </c>
      <c r="FP8" s="5"/>
      <c r="FQ8" s="29">
        <f t="shared" si="14"/>
        <v>0</v>
      </c>
      <c r="FR8" s="5"/>
      <c r="FS8" s="29">
        <f t="shared" si="15"/>
        <v>0</v>
      </c>
      <c r="FT8" s="5"/>
      <c r="FU8" s="29">
        <f t="shared" si="16"/>
        <v>0</v>
      </c>
      <c r="FV8" s="5"/>
      <c r="FW8" s="29">
        <f t="shared" si="16"/>
        <v>0</v>
      </c>
      <c r="FX8" s="5"/>
      <c r="FY8" s="29">
        <f t="shared" si="16"/>
        <v>0</v>
      </c>
      <c r="FZ8" s="5"/>
      <c r="GA8" s="29">
        <f t="shared" si="17"/>
        <v>0</v>
      </c>
      <c r="GB8" s="5"/>
      <c r="GC8" s="29">
        <f t="shared" si="18"/>
        <v>0</v>
      </c>
      <c r="GD8" s="5"/>
      <c r="GE8" s="29">
        <f t="shared" si="18"/>
        <v>0</v>
      </c>
      <c r="GF8" s="5"/>
      <c r="GG8" s="29">
        <f t="shared" si="18"/>
        <v>0</v>
      </c>
      <c r="GH8" s="5"/>
      <c r="GI8" s="29">
        <f t="shared" si="19"/>
        <v>0</v>
      </c>
      <c r="GJ8" s="5"/>
      <c r="GK8" s="29">
        <f t="shared" si="20"/>
        <v>137445.03</v>
      </c>
      <c r="GL8" s="5"/>
      <c r="GM8" s="29">
        <f t="shared" si="20"/>
        <v>-134945.03</v>
      </c>
      <c r="GN8" s="5"/>
      <c r="GO8" s="29">
        <f t="shared" si="21"/>
        <v>0</v>
      </c>
      <c r="GP8" s="5"/>
      <c r="GQ8" s="29">
        <f t="shared" si="22"/>
        <v>-2500</v>
      </c>
      <c r="GR8" s="5"/>
      <c r="GS8" s="29">
        <f t="shared" si="23"/>
        <v>-539.38000000000011</v>
      </c>
      <c r="GT8" s="5"/>
      <c r="GU8" s="29">
        <f t="shared" si="23"/>
        <v>159.49000000000024</v>
      </c>
    </row>
    <row r="9" spans="1:203">
      <c r="A9" s="96" t="s">
        <v>92</v>
      </c>
      <c r="C9" s="29"/>
      <c r="E9" s="29"/>
      <c r="G9" s="29"/>
      <c r="I9" s="29">
        <v>-168667.69762769304</v>
      </c>
      <c r="K9" s="29">
        <v>-755705.34</v>
      </c>
      <c r="M9" s="29">
        <v>-648966.41677208256</v>
      </c>
      <c r="O9" s="29">
        <v>-888275.58000000007</v>
      </c>
      <c r="Q9" s="29">
        <v>7023.9289789524828</v>
      </c>
      <c r="S9" s="29">
        <v>-960228.51</v>
      </c>
      <c r="U9" s="29">
        <v>-1473047.706704994</v>
      </c>
      <c r="W9" s="29">
        <v>-382369.9451221074</v>
      </c>
      <c r="Y9" s="29">
        <v>-384316.20999999996</v>
      </c>
      <c r="AA9" s="29">
        <v>790360.33149550564</v>
      </c>
      <c r="AC9" s="29">
        <v>-10400.226912637765</v>
      </c>
      <c r="AE9" s="29">
        <v>8398.5995786229614</v>
      </c>
      <c r="AG9" s="29">
        <v>0</v>
      </c>
      <c r="AI9" s="29">
        <v>0</v>
      </c>
      <c r="AK9" s="29">
        <v>0</v>
      </c>
      <c r="AM9" s="29">
        <v>0</v>
      </c>
      <c r="AO9" s="29">
        <v>0</v>
      </c>
      <c r="AQ9" s="29">
        <v>0</v>
      </c>
      <c r="AS9" s="29">
        <v>0</v>
      </c>
      <c r="AU9" s="29">
        <v>0</v>
      </c>
      <c r="AW9" s="29">
        <v>0</v>
      </c>
      <c r="AY9" s="29">
        <v>0</v>
      </c>
      <c r="BA9" s="29">
        <v>0</v>
      </c>
      <c r="BC9" s="29">
        <v>0</v>
      </c>
      <c r="BE9" s="29">
        <v>0</v>
      </c>
      <c r="BG9" s="29">
        <v>56265</v>
      </c>
      <c r="BI9" s="29">
        <v>56265</v>
      </c>
      <c r="BK9" s="29">
        <v>56265</v>
      </c>
      <c r="BM9" s="29">
        <v>56265</v>
      </c>
      <c r="BO9" s="29">
        <v>0</v>
      </c>
      <c r="BQ9" s="29">
        <v>0</v>
      </c>
      <c r="BS9" s="29">
        <v>0</v>
      </c>
      <c r="BU9" s="29">
        <v>0</v>
      </c>
      <c r="BW9" s="29">
        <v>0</v>
      </c>
      <c r="BY9" s="29">
        <v>0</v>
      </c>
      <c r="CA9" s="29">
        <v>0</v>
      </c>
      <c r="CC9" s="29">
        <v>0</v>
      </c>
      <c r="CE9" s="29">
        <v>0</v>
      </c>
      <c r="CG9" s="29">
        <v>0</v>
      </c>
      <c r="CI9" s="29">
        <v>0</v>
      </c>
      <c r="CK9" s="29">
        <v>0</v>
      </c>
      <c r="CM9" s="29">
        <v>0</v>
      </c>
      <c r="CO9" s="29">
        <v>0</v>
      </c>
      <c r="CQ9" s="29">
        <v>0</v>
      </c>
      <c r="CS9" s="29">
        <v>0</v>
      </c>
      <c r="CU9" s="29">
        <v>0</v>
      </c>
      <c r="CW9" s="29">
        <v>0</v>
      </c>
      <c r="CY9" s="29">
        <v>0</v>
      </c>
      <c r="DA9" s="29">
        <v>0</v>
      </c>
      <c r="DC9" s="29"/>
      <c r="DD9" s="5"/>
      <c r="DE9" s="29"/>
      <c r="DF9" s="5"/>
      <c r="DG9" s="29"/>
      <c r="DH9" s="5"/>
      <c r="DI9" s="29">
        <f t="shared" si="1"/>
        <v>-168667.69762769304</v>
      </c>
      <c r="DJ9" s="5"/>
      <c r="DK9" s="29">
        <f t="shared" si="24"/>
        <v>-106738.9232279174</v>
      </c>
      <c r="DL9" s="5"/>
      <c r="DM9" s="29">
        <f t="shared" si="24"/>
        <v>239309.16322791751</v>
      </c>
      <c r="DN9" s="5"/>
      <c r="DO9" s="29">
        <f t="shared" si="24"/>
        <v>-895299.50897895254</v>
      </c>
      <c r="DP9" s="5"/>
      <c r="DQ9" s="29">
        <f t="shared" si="2"/>
        <v>7023.9289789524828</v>
      </c>
      <c r="DR9" s="5"/>
      <c r="DS9" s="29">
        <f t="shared" si="3"/>
        <v>512819.19670499396</v>
      </c>
      <c r="DT9" s="5"/>
      <c r="DU9" s="29">
        <f t="shared" si="3"/>
        <v>-1090677.7615828866</v>
      </c>
      <c r="DV9" s="5"/>
      <c r="DW9" s="29">
        <f t="shared" si="3"/>
        <v>1946.264877892565</v>
      </c>
      <c r="DX9" s="5"/>
      <c r="DY9" s="29">
        <f t="shared" si="4"/>
        <v>-384316.20999999996</v>
      </c>
      <c r="DZ9" s="5"/>
      <c r="EA9" s="29">
        <f t="shared" si="27"/>
        <v>800760.55840814346</v>
      </c>
      <c r="EB9" s="5"/>
      <c r="EC9" s="29">
        <f t="shared" si="27"/>
        <v>-18798.826491260726</v>
      </c>
      <c r="ED9" s="5"/>
      <c r="EE9" s="29">
        <f t="shared" si="27"/>
        <v>8398.5995786229614</v>
      </c>
      <c r="EF9" s="5"/>
      <c r="EG9" s="29">
        <f t="shared" si="28"/>
        <v>0</v>
      </c>
      <c r="EH9" s="5"/>
      <c r="EI9" s="29">
        <f t="shared" si="25"/>
        <v>0</v>
      </c>
      <c r="EJ9" s="5"/>
      <c r="EK9" s="29">
        <f t="shared" si="25"/>
        <v>0</v>
      </c>
      <c r="EL9" s="5"/>
      <c r="EM9" s="29">
        <f t="shared" si="25"/>
        <v>0</v>
      </c>
      <c r="EN9" s="5"/>
      <c r="EO9" s="29">
        <f t="shared" si="26"/>
        <v>0</v>
      </c>
      <c r="EP9" s="5"/>
      <c r="EQ9" s="29">
        <f t="shared" si="5"/>
        <v>0</v>
      </c>
      <c r="ER9" s="5"/>
      <c r="ES9" s="29">
        <f t="shared" si="6"/>
        <v>0</v>
      </c>
      <c r="ET9" s="5"/>
      <c r="EU9" s="29">
        <f t="shared" si="7"/>
        <v>0</v>
      </c>
      <c r="EV9" s="5"/>
      <c r="EW9" s="29">
        <f t="shared" si="8"/>
        <v>0</v>
      </c>
      <c r="EX9" s="5"/>
      <c r="EY9" s="29">
        <f t="shared" si="9"/>
        <v>0</v>
      </c>
      <c r="EZ9" s="5"/>
      <c r="FA9" s="29">
        <f t="shared" si="9"/>
        <v>0</v>
      </c>
      <c r="FB9" s="5"/>
      <c r="FC9" s="29">
        <f t="shared" si="9"/>
        <v>0</v>
      </c>
      <c r="FD9" s="5"/>
      <c r="FE9" s="29">
        <f t="shared" si="10"/>
        <v>0</v>
      </c>
      <c r="FF9" s="5"/>
      <c r="FG9" s="29">
        <v>0</v>
      </c>
      <c r="FH9" s="5"/>
      <c r="FI9" s="29">
        <f t="shared" si="11"/>
        <v>0</v>
      </c>
      <c r="FJ9" s="5"/>
      <c r="FK9" s="29">
        <f t="shared" si="11"/>
        <v>0</v>
      </c>
      <c r="FL9" s="5"/>
      <c r="FM9" s="29">
        <f t="shared" si="12"/>
        <v>56265</v>
      </c>
      <c r="FN9" s="5"/>
      <c r="FO9" s="29">
        <f t="shared" si="13"/>
        <v>0</v>
      </c>
      <c r="FP9" s="5"/>
      <c r="FQ9" s="29">
        <f t="shared" si="14"/>
        <v>0</v>
      </c>
      <c r="FR9" s="5"/>
      <c r="FS9" s="29">
        <f t="shared" si="15"/>
        <v>0</v>
      </c>
      <c r="FT9" s="5"/>
      <c r="FU9" s="29">
        <f t="shared" si="16"/>
        <v>0</v>
      </c>
      <c r="FV9" s="5"/>
      <c r="FW9" s="29">
        <f t="shared" si="16"/>
        <v>0</v>
      </c>
      <c r="FX9" s="5"/>
      <c r="FY9" s="29">
        <f t="shared" si="16"/>
        <v>0</v>
      </c>
      <c r="FZ9" s="5"/>
      <c r="GA9" s="29">
        <f t="shared" si="17"/>
        <v>0</v>
      </c>
      <c r="GB9" s="5"/>
      <c r="GC9" s="29">
        <f t="shared" si="18"/>
        <v>0</v>
      </c>
      <c r="GD9" s="5"/>
      <c r="GE9" s="29">
        <f t="shared" si="18"/>
        <v>0</v>
      </c>
      <c r="GF9" s="5"/>
      <c r="GG9" s="29">
        <f t="shared" si="18"/>
        <v>0</v>
      </c>
      <c r="GH9" s="5"/>
      <c r="GI9" s="29">
        <f t="shared" si="19"/>
        <v>0</v>
      </c>
      <c r="GJ9" s="5"/>
      <c r="GK9" s="29">
        <f t="shared" si="20"/>
        <v>0</v>
      </c>
      <c r="GL9" s="5"/>
      <c r="GM9" s="29">
        <f t="shared" si="20"/>
        <v>0</v>
      </c>
      <c r="GN9" s="5"/>
      <c r="GO9" s="29">
        <f t="shared" si="21"/>
        <v>0</v>
      </c>
      <c r="GP9" s="5"/>
      <c r="GQ9" s="29">
        <f t="shared" si="22"/>
        <v>0</v>
      </c>
      <c r="GR9" s="5"/>
      <c r="GS9" s="29">
        <f t="shared" si="23"/>
        <v>0</v>
      </c>
      <c r="GT9" s="5"/>
      <c r="GU9" s="29">
        <f t="shared" si="23"/>
        <v>0</v>
      </c>
    </row>
    <row r="10" spans="1:203">
      <c r="A10" s="96" t="s">
        <v>289</v>
      </c>
      <c r="C10" s="29"/>
      <c r="E10" s="29"/>
      <c r="G10" s="29"/>
      <c r="I10" s="29">
        <v>-36311.01</v>
      </c>
      <c r="K10" s="29">
        <v>-144855.78</v>
      </c>
      <c r="M10" s="29">
        <v>-108504.44259999946</v>
      </c>
      <c r="O10" s="29">
        <v>-72548.22</v>
      </c>
      <c r="Q10" s="29">
        <v>-36472.33</v>
      </c>
      <c r="S10" s="29">
        <v>-193292.1</v>
      </c>
      <c r="U10" s="29">
        <v>-409914.38999999996</v>
      </c>
      <c r="W10" s="29">
        <v>-370551.1</v>
      </c>
      <c r="Y10" s="29">
        <v>-240097.03999999998</v>
      </c>
      <c r="AA10" s="29">
        <v>-191749.87000000002</v>
      </c>
      <c r="AC10" s="29">
        <v>-115920.90999999999</v>
      </c>
      <c r="AE10" s="29">
        <v>-49766.6</v>
      </c>
      <c r="AG10" s="29">
        <v>-35002.05999999999</v>
      </c>
      <c r="AI10" s="29">
        <v>-122993.31</v>
      </c>
      <c r="AK10" s="29">
        <v>-89659.98000000001</v>
      </c>
      <c r="AM10" s="29">
        <v>-57897.779999999992</v>
      </c>
      <c r="AO10" s="29">
        <v>-28799</v>
      </c>
      <c r="AQ10" s="29">
        <v>-388499.25</v>
      </c>
      <c r="AS10" s="29">
        <v>-344627.79</v>
      </c>
      <c r="AU10" s="29">
        <v>-177240.05</v>
      </c>
      <c r="AW10" s="29">
        <v>-148382.49</v>
      </c>
      <c r="AY10" s="29">
        <v>-78257.600000000006</v>
      </c>
      <c r="BA10" s="29">
        <v>-51435.200000000004</v>
      </c>
      <c r="BC10" s="29">
        <v>-25758.2</v>
      </c>
      <c r="BE10" s="29">
        <v>-3573.9</v>
      </c>
      <c r="BG10" s="29">
        <v>-35.69</v>
      </c>
      <c r="BI10" s="29">
        <v>-28</v>
      </c>
      <c r="BK10" s="29">
        <v>-27.98</v>
      </c>
      <c r="BM10" s="29">
        <v>-27.98</v>
      </c>
      <c r="BO10" s="29">
        <v>-27.98</v>
      </c>
      <c r="BQ10" s="29">
        <v>-27.980000000006985</v>
      </c>
      <c r="BS10" s="29">
        <v>0</v>
      </c>
      <c r="BU10" s="29">
        <v>-5.76</v>
      </c>
      <c r="BW10" s="29">
        <v>-4.6500000000000004</v>
      </c>
      <c r="BY10" s="29">
        <v>-4.6500000000000004</v>
      </c>
      <c r="CA10" s="29">
        <v>0</v>
      </c>
      <c r="CC10" s="29">
        <v>-39.64</v>
      </c>
      <c r="CE10" s="29">
        <v>-8.34</v>
      </c>
      <c r="CG10" s="29">
        <v>-7.4</v>
      </c>
      <c r="CI10" s="29">
        <v>0</v>
      </c>
      <c r="CK10" s="29">
        <v>0</v>
      </c>
      <c r="CM10" s="29">
        <v>0</v>
      </c>
      <c r="CO10" s="29">
        <v>-1864.26</v>
      </c>
      <c r="CQ10" s="29">
        <v>0</v>
      </c>
      <c r="CS10" s="29">
        <v>-20352.109999999986</v>
      </c>
      <c r="CU10" s="29">
        <v>-3313.97</v>
      </c>
      <c r="CW10" s="29">
        <v>336234.47</v>
      </c>
      <c r="CY10" s="29">
        <v>-15570.419999999984</v>
      </c>
      <c r="DA10" s="29">
        <v>-350962.16</v>
      </c>
      <c r="DC10" s="29"/>
      <c r="DD10" s="5"/>
      <c r="DE10" s="29"/>
      <c r="DF10" s="5"/>
      <c r="DG10" s="29"/>
      <c r="DH10" s="5"/>
      <c r="DI10" s="29">
        <f t="shared" si="1"/>
        <v>-36311.01</v>
      </c>
      <c r="DJ10" s="5"/>
      <c r="DK10" s="29">
        <f t="shared" si="24"/>
        <v>-36351.337400000542</v>
      </c>
      <c r="DL10" s="5"/>
      <c r="DM10" s="29">
        <f t="shared" si="24"/>
        <v>-35956.222599999455</v>
      </c>
      <c r="DN10" s="5"/>
      <c r="DO10" s="29">
        <f t="shared" si="24"/>
        <v>-36075.89</v>
      </c>
      <c r="DP10" s="5"/>
      <c r="DQ10" s="29">
        <f t="shared" si="2"/>
        <v>-36472.33</v>
      </c>
      <c r="DR10" s="5"/>
      <c r="DS10" s="29">
        <f t="shared" si="3"/>
        <v>216622.28999999995</v>
      </c>
      <c r="DT10" s="5"/>
      <c r="DU10" s="29">
        <f t="shared" si="3"/>
        <v>-39363.289999999979</v>
      </c>
      <c r="DV10" s="5"/>
      <c r="DW10" s="29">
        <f t="shared" si="3"/>
        <v>-130454.06</v>
      </c>
      <c r="DX10" s="5"/>
      <c r="DY10" s="29">
        <f t="shared" si="4"/>
        <v>-240097.03999999998</v>
      </c>
      <c r="DZ10" s="5"/>
      <c r="EA10" s="29">
        <f t="shared" si="27"/>
        <v>-75828.960000000036</v>
      </c>
      <c r="EB10" s="5"/>
      <c r="EC10" s="29">
        <f t="shared" si="27"/>
        <v>-66154.31</v>
      </c>
      <c r="ED10" s="5"/>
      <c r="EE10" s="29">
        <f t="shared" si="27"/>
        <v>-14764.540000000008</v>
      </c>
      <c r="EF10" s="5"/>
      <c r="EG10" s="29">
        <f t="shared" si="28"/>
        <v>-35002.05999999999</v>
      </c>
      <c r="EH10" s="5"/>
      <c r="EI10" s="29">
        <f t="shared" si="25"/>
        <v>-33333.329999999987</v>
      </c>
      <c r="EJ10" s="5"/>
      <c r="EK10" s="29">
        <f t="shared" si="25"/>
        <v>-31762.200000000019</v>
      </c>
      <c r="EL10" s="5"/>
      <c r="EM10" s="29">
        <f t="shared" si="25"/>
        <v>-29098.779999999992</v>
      </c>
      <c r="EN10" s="5"/>
      <c r="EO10" s="29">
        <f t="shared" si="26"/>
        <v>-28799</v>
      </c>
      <c r="EP10" s="5"/>
      <c r="EQ10" s="29">
        <f t="shared" si="5"/>
        <v>-43871.460000000021</v>
      </c>
      <c r="ER10" s="5"/>
      <c r="ES10" s="29">
        <f t="shared" si="6"/>
        <v>-167387.74</v>
      </c>
      <c r="ET10" s="5"/>
      <c r="EU10" s="29">
        <f t="shared" si="7"/>
        <v>-28857.559999999998</v>
      </c>
      <c r="EV10" s="5"/>
      <c r="EW10" s="29">
        <f t="shared" si="8"/>
        <v>-148382.49</v>
      </c>
      <c r="EX10" s="5"/>
      <c r="EY10" s="29">
        <f t="shared" si="9"/>
        <v>-26822.400000000001</v>
      </c>
      <c r="EZ10" s="5"/>
      <c r="FA10" s="29">
        <f t="shared" si="9"/>
        <v>-25677.000000000004</v>
      </c>
      <c r="FB10" s="5"/>
      <c r="FC10" s="29">
        <f t="shared" si="9"/>
        <v>-22184.3</v>
      </c>
      <c r="FD10" s="5"/>
      <c r="FE10" s="29">
        <f t="shared" si="10"/>
        <v>-3573.9</v>
      </c>
      <c r="FF10" s="5"/>
      <c r="FG10" s="29">
        <v>-7.6899999999999986</v>
      </c>
      <c r="FH10" s="5"/>
      <c r="FI10" s="29">
        <f t="shared" si="11"/>
        <v>-1.9999999999999574E-2</v>
      </c>
      <c r="FJ10" s="5"/>
      <c r="FK10" s="29">
        <f t="shared" si="11"/>
        <v>0</v>
      </c>
      <c r="FL10" s="5"/>
      <c r="FM10" s="29">
        <f t="shared" si="12"/>
        <v>0</v>
      </c>
      <c r="FN10" s="5"/>
      <c r="FO10" s="29">
        <f t="shared" si="13"/>
        <v>6.9846350925217848E-12</v>
      </c>
      <c r="FP10" s="5"/>
      <c r="FQ10" s="29">
        <f t="shared" si="14"/>
        <v>-27.980000000006985</v>
      </c>
      <c r="FR10" s="5"/>
      <c r="FS10" s="29">
        <f t="shared" si="15"/>
        <v>0</v>
      </c>
      <c r="FT10" s="5"/>
      <c r="FU10" s="29">
        <f t="shared" si="16"/>
        <v>-1.1099999999999994</v>
      </c>
      <c r="FV10" s="5"/>
      <c r="FW10" s="29">
        <f t="shared" si="16"/>
        <v>0</v>
      </c>
      <c r="FX10" s="5"/>
      <c r="FY10" s="29">
        <f t="shared" si="16"/>
        <v>-4.6500000000000004</v>
      </c>
      <c r="FZ10" s="5"/>
      <c r="GA10" s="29">
        <f t="shared" si="17"/>
        <v>0</v>
      </c>
      <c r="GB10" s="5"/>
      <c r="GC10" s="29">
        <f t="shared" si="18"/>
        <v>-31.3</v>
      </c>
      <c r="GD10" s="5"/>
      <c r="GE10" s="29">
        <f t="shared" si="18"/>
        <v>-0.9399999999999995</v>
      </c>
      <c r="GF10" s="5"/>
      <c r="GG10" s="29">
        <f t="shared" si="18"/>
        <v>-7.4</v>
      </c>
      <c r="GH10" s="5"/>
      <c r="GI10" s="29">
        <f t="shared" si="19"/>
        <v>0</v>
      </c>
      <c r="GJ10" s="5"/>
      <c r="GK10" s="29">
        <f t="shared" si="20"/>
        <v>0</v>
      </c>
      <c r="GL10" s="5"/>
      <c r="GM10" s="29">
        <f t="shared" si="20"/>
        <v>1864.26</v>
      </c>
      <c r="GN10" s="5"/>
      <c r="GO10" s="29">
        <f t="shared" si="21"/>
        <v>-1864.26</v>
      </c>
      <c r="GP10" s="5"/>
      <c r="GQ10" s="29">
        <f t="shared" si="22"/>
        <v>0</v>
      </c>
      <c r="GR10" s="5"/>
      <c r="GS10" s="29">
        <f t="shared" si="23"/>
        <v>-17038.139999999985</v>
      </c>
      <c r="GT10" s="5"/>
      <c r="GU10" s="29">
        <f t="shared" si="23"/>
        <v>-339548.43999999994</v>
      </c>
    </row>
    <row r="11" spans="1:203">
      <c r="A11" s="96" t="s">
        <v>93</v>
      </c>
      <c r="C11" s="29"/>
      <c r="E11" s="29"/>
      <c r="G11" s="29"/>
      <c r="I11" s="29">
        <v>447976.33</v>
      </c>
      <c r="K11" s="29">
        <v>1438413.39</v>
      </c>
      <c r="M11" s="29">
        <v>1084603.0699999998</v>
      </c>
      <c r="O11" s="29">
        <v>683538.93443200004</v>
      </c>
      <c r="Q11" s="29">
        <v>519003.93</v>
      </c>
      <c r="S11" s="29">
        <v>1634129.39</v>
      </c>
      <c r="U11" s="29">
        <v>1161374.96</v>
      </c>
      <c r="W11" s="29">
        <v>786073.20000000019</v>
      </c>
      <c r="Y11" s="29">
        <v>577611.44999999995</v>
      </c>
      <c r="AA11" s="29">
        <v>1328693.6463741579</v>
      </c>
      <c r="AC11" s="29">
        <v>827626.53</v>
      </c>
      <c r="AE11" s="29">
        <v>358658.24</v>
      </c>
      <c r="AG11" s="29">
        <v>126565.23</v>
      </c>
      <c r="AI11" s="29">
        <v>574574.92000000004</v>
      </c>
      <c r="AK11" s="29">
        <v>373169.74000000005</v>
      </c>
      <c r="AM11" s="29">
        <v>192128.08999999997</v>
      </c>
      <c r="AO11" s="29">
        <v>130990.76000000002</v>
      </c>
      <c r="AQ11" s="29">
        <v>594497.22</v>
      </c>
      <c r="AS11" s="29">
        <v>477259.98</v>
      </c>
      <c r="AU11" s="29">
        <v>222345.36000000002</v>
      </c>
      <c r="AW11" s="29">
        <v>27460</v>
      </c>
      <c r="AY11" s="29">
        <v>699248.85</v>
      </c>
      <c r="BA11" s="29">
        <v>595061.51</v>
      </c>
      <c r="BC11" s="29">
        <v>383898.58</v>
      </c>
      <c r="BE11" s="29">
        <v>207786.93</v>
      </c>
      <c r="BG11" s="29">
        <v>769421.95</v>
      </c>
      <c r="BI11" s="29">
        <v>424740.08</v>
      </c>
      <c r="BK11" s="29">
        <v>217774.94</v>
      </c>
      <c r="BM11" s="29">
        <v>197715.77</v>
      </c>
      <c r="BO11" s="29">
        <v>153413.22</v>
      </c>
      <c r="BQ11" s="29">
        <v>135684.28999999998</v>
      </c>
      <c r="BS11" s="29">
        <v>-9572.17</v>
      </c>
      <c r="BU11" s="29">
        <v>301771.40000000002</v>
      </c>
      <c r="BW11" s="29">
        <v>221679.56</v>
      </c>
      <c r="BY11" s="29">
        <v>150719.38</v>
      </c>
      <c r="CA11" s="29">
        <v>72532.41</v>
      </c>
      <c r="CC11" s="29">
        <v>494594.88</v>
      </c>
      <c r="CE11" s="29">
        <v>393018.77</v>
      </c>
      <c r="CG11" s="29">
        <v>279843.84000000003</v>
      </c>
      <c r="CI11" s="29">
        <v>146453.9</v>
      </c>
      <c r="CK11" s="29">
        <v>443442.28999999986</v>
      </c>
      <c r="CM11" s="29">
        <v>485723.41</v>
      </c>
      <c r="CO11" s="29">
        <v>329586.78999999998</v>
      </c>
      <c r="CQ11" s="29">
        <v>206441.40999999997</v>
      </c>
      <c r="CS11" s="29">
        <v>987234.42</v>
      </c>
      <c r="CU11" s="29">
        <v>477186.75999999995</v>
      </c>
      <c r="CW11" s="29">
        <v>0</v>
      </c>
      <c r="CY11" s="29">
        <v>1108776.0300000003</v>
      </c>
      <c r="DA11" s="29">
        <v>1172195.92</v>
      </c>
      <c r="DC11" s="29"/>
      <c r="DD11" s="5"/>
      <c r="DE11" s="29"/>
      <c r="DF11" s="5"/>
      <c r="DG11" s="29"/>
      <c r="DH11" s="5"/>
      <c r="DI11" s="29">
        <f t="shared" si="1"/>
        <v>447976.33</v>
      </c>
      <c r="DJ11" s="5"/>
      <c r="DK11" s="29">
        <f t="shared" si="24"/>
        <v>353810.32000000007</v>
      </c>
      <c r="DL11" s="5"/>
      <c r="DM11" s="29">
        <f t="shared" si="24"/>
        <v>401064.13556799979</v>
      </c>
      <c r="DN11" s="5"/>
      <c r="DO11" s="29">
        <f t="shared" si="24"/>
        <v>164535.00443200005</v>
      </c>
      <c r="DP11" s="5"/>
      <c r="DQ11" s="29">
        <f t="shared" si="2"/>
        <v>519003.93</v>
      </c>
      <c r="DR11" s="5"/>
      <c r="DS11" s="29">
        <f t="shared" si="3"/>
        <v>472754.42999999993</v>
      </c>
      <c r="DT11" s="5"/>
      <c r="DU11" s="29">
        <f t="shared" si="3"/>
        <v>375301.75999999978</v>
      </c>
      <c r="DV11" s="5"/>
      <c r="DW11" s="29">
        <f t="shared" si="3"/>
        <v>208461.75000000023</v>
      </c>
      <c r="DX11" s="5"/>
      <c r="DY11" s="29">
        <f t="shared" si="4"/>
        <v>577611.44999999995</v>
      </c>
      <c r="DZ11" s="5"/>
      <c r="EA11" s="29">
        <f t="shared" si="27"/>
        <v>501067.11637415783</v>
      </c>
      <c r="EB11" s="5"/>
      <c r="EC11" s="29">
        <f t="shared" si="27"/>
        <v>468968.29000000004</v>
      </c>
      <c r="ED11" s="5"/>
      <c r="EE11" s="29">
        <f t="shared" si="27"/>
        <v>232093.01</v>
      </c>
      <c r="EF11" s="5"/>
      <c r="EG11" s="29">
        <f t="shared" si="28"/>
        <v>126565.23</v>
      </c>
      <c r="EH11" s="5"/>
      <c r="EI11" s="29">
        <f t="shared" si="25"/>
        <v>201405.18</v>
      </c>
      <c r="EJ11" s="5"/>
      <c r="EK11" s="29">
        <f t="shared" si="25"/>
        <v>181041.65000000008</v>
      </c>
      <c r="EL11" s="5"/>
      <c r="EM11" s="29">
        <f t="shared" si="25"/>
        <v>61137.329999999944</v>
      </c>
      <c r="EN11" s="5"/>
      <c r="EO11" s="29">
        <f t="shared" si="26"/>
        <v>130990.76000000002</v>
      </c>
      <c r="EP11" s="5"/>
      <c r="EQ11" s="29">
        <f t="shared" si="5"/>
        <v>117237.23999999999</v>
      </c>
      <c r="ER11" s="5"/>
      <c r="ES11" s="29">
        <f t="shared" si="6"/>
        <v>254914.61999999997</v>
      </c>
      <c r="ET11" s="5"/>
      <c r="EU11" s="29">
        <f t="shared" si="7"/>
        <v>194885.36000000002</v>
      </c>
      <c r="EV11" s="5"/>
      <c r="EW11" s="29">
        <f t="shared" si="8"/>
        <v>27460</v>
      </c>
      <c r="EX11" s="5"/>
      <c r="EY11" s="29">
        <f t="shared" si="9"/>
        <v>104187.33999999997</v>
      </c>
      <c r="EZ11" s="5"/>
      <c r="FA11" s="29">
        <f t="shared" si="9"/>
        <v>211162.93</v>
      </c>
      <c r="FB11" s="5"/>
      <c r="FC11" s="29">
        <f t="shared" si="9"/>
        <v>176111.65000000002</v>
      </c>
      <c r="FD11" s="5"/>
      <c r="FE11" s="29">
        <f t="shared" si="10"/>
        <v>207786.93</v>
      </c>
      <c r="FF11" s="5"/>
      <c r="FG11" s="29">
        <v>344681.86999999988</v>
      </c>
      <c r="FH11" s="5"/>
      <c r="FI11" s="29">
        <f t="shared" si="11"/>
        <v>206965.14</v>
      </c>
      <c r="FJ11" s="5"/>
      <c r="FK11" s="29">
        <f t="shared" si="11"/>
        <v>20059.170000000013</v>
      </c>
      <c r="FL11" s="5"/>
      <c r="FM11" s="29">
        <f t="shared" si="12"/>
        <v>44302.549999999988</v>
      </c>
      <c r="FN11" s="5"/>
      <c r="FO11" s="29">
        <f t="shared" si="13"/>
        <v>17728.930000000022</v>
      </c>
      <c r="FP11" s="5"/>
      <c r="FQ11" s="29">
        <f t="shared" si="14"/>
        <v>145256.46</v>
      </c>
      <c r="FR11" s="5"/>
      <c r="FS11" s="29">
        <f t="shared" si="15"/>
        <v>-9572.17</v>
      </c>
      <c r="FT11" s="5"/>
      <c r="FU11" s="29">
        <f t="shared" si="16"/>
        <v>80091.840000000026</v>
      </c>
      <c r="FV11" s="5"/>
      <c r="FW11" s="29">
        <f t="shared" si="16"/>
        <v>70960.179999999993</v>
      </c>
      <c r="FX11" s="5"/>
      <c r="FY11" s="29">
        <f t="shared" si="16"/>
        <v>78186.97</v>
      </c>
      <c r="FZ11" s="5"/>
      <c r="GA11" s="29">
        <f t="shared" si="17"/>
        <v>72532.41</v>
      </c>
      <c r="GB11" s="5"/>
      <c r="GC11" s="29">
        <f t="shared" si="18"/>
        <v>101576.10999999999</v>
      </c>
      <c r="GD11" s="5"/>
      <c r="GE11" s="29">
        <f t="shared" si="18"/>
        <v>113174.93</v>
      </c>
      <c r="GF11" s="5"/>
      <c r="GG11" s="29">
        <f t="shared" si="18"/>
        <v>133389.94000000003</v>
      </c>
      <c r="GH11" s="5"/>
      <c r="GI11" s="29">
        <f t="shared" si="19"/>
        <v>146453.9</v>
      </c>
      <c r="GJ11" s="5"/>
      <c r="GK11" s="29">
        <f t="shared" si="20"/>
        <v>-42281.120000000112</v>
      </c>
      <c r="GL11" s="5"/>
      <c r="GM11" s="29">
        <f t="shared" si="20"/>
        <v>156136.62</v>
      </c>
      <c r="GN11" s="5"/>
      <c r="GO11" s="29">
        <f t="shared" si="21"/>
        <v>123145.38</v>
      </c>
      <c r="GP11" s="5"/>
      <c r="GQ11" s="29">
        <f t="shared" si="22"/>
        <v>206441.40999999997</v>
      </c>
      <c r="GR11" s="5"/>
      <c r="GS11" s="29">
        <f t="shared" si="23"/>
        <v>510047.66000000009</v>
      </c>
      <c r="GT11" s="5"/>
      <c r="GU11" s="29">
        <f t="shared" si="23"/>
        <v>477186.75999999995</v>
      </c>
    </row>
    <row r="12" spans="1:203">
      <c r="A12" s="96" t="s">
        <v>94</v>
      </c>
      <c r="C12" s="29"/>
      <c r="E12" s="29"/>
      <c r="G12" s="29"/>
      <c r="I12" s="29">
        <v>0</v>
      </c>
      <c r="K12" s="29">
        <v>0</v>
      </c>
      <c r="M12" s="29">
        <v>0</v>
      </c>
      <c r="O12" s="29">
        <v>0</v>
      </c>
      <c r="Q12" s="29">
        <v>0</v>
      </c>
      <c r="S12" s="29">
        <v>0</v>
      </c>
      <c r="U12" s="29">
        <v>0</v>
      </c>
      <c r="W12" s="29">
        <v>0</v>
      </c>
      <c r="Y12" s="29">
        <v>0</v>
      </c>
      <c r="AA12" s="29">
        <v>0</v>
      </c>
      <c r="AC12" s="29">
        <v>0</v>
      </c>
      <c r="AE12" s="29">
        <v>0</v>
      </c>
      <c r="AG12" s="29">
        <v>0</v>
      </c>
      <c r="AI12" s="29">
        <v>0</v>
      </c>
      <c r="AK12" s="29">
        <v>0</v>
      </c>
      <c r="AM12" s="29">
        <v>0</v>
      </c>
      <c r="AO12" s="29">
        <v>0</v>
      </c>
      <c r="AQ12" s="29">
        <v>0</v>
      </c>
      <c r="AS12" s="29">
        <v>0</v>
      </c>
      <c r="AU12" s="29">
        <v>0</v>
      </c>
      <c r="AW12" s="29">
        <v>0</v>
      </c>
      <c r="AY12" s="29">
        <v>0</v>
      </c>
      <c r="BA12" s="29">
        <v>0</v>
      </c>
      <c r="BC12" s="29">
        <v>0</v>
      </c>
      <c r="BE12" s="29">
        <v>0</v>
      </c>
      <c r="BG12" s="29">
        <v>0</v>
      </c>
      <c r="BI12" s="29">
        <v>0</v>
      </c>
      <c r="BK12" s="29">
        <v>0</v>
      </c>
      <c r="BM12" s="29">
        <v>0</v>
      </c>
      <c r="BO12" s="29">
        <v>0</v>
      </c>
      <c r="BQ12" s="29">
        <v>0</v>
      </c>
      <c r="BS12" s="29">
        <v>0</v>
      </c>
      <c r="BU12" s="29">
        <v>0</v>
      </c>
      <c r="BW12" s="29">
        <v>0</v>
      </c>
      <c r="BY12" s="29">
        <v>0</v>
      </c>
      <c r="CA12" s="29">
        <v>0</v>
      </c>
      <c r="CC12" s="29">
        <v>0</v>
      </c>
      <c r="CE12" s="29">
        <v>0</v>
      </c>
      <c r="CG12" s="29">
        <v>0</v>
      </c>
      <c r="CI12" s="29">
        <v>0</v>
      </c>
      <c r="CK12" s="29">
        <v>0</v>
      </c>
      <c r="CM12" s="29">
        <v>0</v>
      </c>
      <c r="CO12" s="29">
        <v>0</v>
      </c>
      <c r="CQ12" s="29">
        <v>0</v>
      </c>
      <c r="CS12" s="29">
        <v>0</v>
      </c>
      <c r="CU12" s="29">
        <v>0</v>
      </c>
      <c r="CW12" s="29">
        <v>0</v>
      </c>
      <c r="CY12" s="29">
        <v>0</v>
      </c>
      <c r="DA12" s="29">
        <v>0</v>
      </c>
      <c r="DC12" s="29"/>
      <c r="DD12" s="5"/>
      <c r="DE12" s="29"/>
      <c r="DF12" s="5"/>
      <c r="DG12" s="29"/>
      <c r="DH12" s="5"/>
      <c r="DI12" s="29">
        <f t="shared" si="1"/>
        <v>0</v>
      </c>
      <c r="DJ12" s="5"/>
      <c r="DK12" s="29">
        <f t="shared" si="24"/>
        <v>0</v>
      </c>
      <c r="DL12" s="5"/>
      <c r="DM12" s="29">
        <f t="shared" si="24"/>
        <v>0</v>
      </c>
      <c r="DN12" s="5"/>
      <c r="DO12" s="29">
        <f t="shared" si="24"/>
        <v>0</v>
      </c>
      <c r="DP12" s="5"/>
      <c r="DQ12" s="29">
        <f t="shared" si="2"/>
        <v>0</v>
      </c>
      <c r="DR12" s="5"/>
      <c r="DS12" s="29">
        <f t="shared" si="3"/>
        <v>0</v>
      </c>
      <c r="DT12" s="5"/>
      <c r="DU12" s="29">
        <f t="shared" si="3"/>
        <v>0</v>
      </c>
      <c r="DV12" s="5"/>
      <c r="DW12" s="29">
        <f t="shared" si="3"/>
        <v>0</v>
      </c>
      <c r="DX12" s="5"/>
      <c r="DY12" s="29">
        <f t="shared" si="4"/>
        <v>0</v>
      </c>
      <c r="DZ12" s="5"/>
      <c r="EA12" s="29">
        <f t="shared" si="27"/>
        <v>0</v>
      </c>
      <c r="EB12" s="5"/>
      <c r="EC12" s="29">
        <f t="shared" si="27"/>
        <v>0</v>
      </c>
      <c r="ED12" s="5"/>
      <c r="EE12" s="29">
        <f t="shared" si="27"/>
        <v>0</v>
      </c>
      <c r="EF12" s="5"/>
      <c r="EG12" s="29">
        <f t="shared" si="28"/>
        <v>0</v>
      </c>
      <c r="EH12" s="5"/>
      <c r="EI12" s="29">
        <f t="shared" si="25"/>
        <v>0</v>
      </c>
      <c r="EJ12" s="5"/>
      <c r="EK12" s="29">
        <f t="shared" si="25"/>
        <v>0</v>
      </c>
      <c r="EL12" s="5"/>
      <c r="EM12" s="29">
        <f t="shared" si="25"/>
        <v>0</v>
      </c>
      <c r="EN12" s="5"/>
      <c r="EO12" s="29">
        <f t="shared" si="26"/>
        <v>0</v>
      </c>
      <c r="EP12" s="5"/>
      <c r="EQ12" s="29">
        <f t="shared" si="5"/>
        <v>0</v>
      </c>
      <c r="ER12" s="5"/>
      <c r="ES12" s="29">
        <f t="shared" si="6"/>
        <v>0</v>
      </c>
      <c r="ET12" s="5"/>
      <c r="EU12" s="29">
        <f t="shared" si="7"/>
        <v>0</v>
      </c>
      <c r="EV12" s="5"/>
      <c r="EW12" s="29">
        <f t="shared" si="8"/>
        <v>0</v>
      </c>
      <c r="EX12" s="5"/>
      <c r="EY12" s="29">
        <f t="shared" si="9"/>
        <v>0</v>
      </c>
      <c r="EZ12" s="5"/>
      <c r="FA12" s="29">
        <f t="shared" si="9"/>
        <v>0</v>
      </c>
      <c r="FB12" s="5"/>
      <c r="FC12" s="29">
        <f t="shared" si="9"/>
        <v>0</v>
      </c>
      <c r="FD12" s="5"/>
      <c r="FE12" s="29">
        <f t="shared" si="10"/>
        <v>0</v>
      </c>
      <c r="FF12" s="5"/>
      <c r="FG12" s="29">
        <v>0</v>
      </c>
      <c r="FH12" s="5"/>
      <c r="FI12" s="29">
        <f t="shared" si="11"/>
        <v>0</v>
      </c>
      <c r="FJ12" s="5"/>
      <c r="FK12" s="29">
        <f t="shared" si="11"/>
        <v>0</v>
      </c>
      <c r="FL12" s="5"/>
      <c r="FM12" s="29">
        <f t="shared" si="12"/>
        <v>0</v>
      </c>
      <c r="FN12" s="5"/>
      <c r="FO12" s="29">
        <f t="shared" si="13"/>
        <v>0</v>
      </c>
      <c r="FP12" s="5"/>
      <c r="FQ12" s="29">
        <f t="shared" si="14"/>
        <v>0</v>
      </c>
      <c r="FR12" s="5"/>
      <c r="FS12" s="29">
        <f t="shared" si="15"/>
        <v>0</v>
      </c>
      <c r="FT12" s="5"/>
      <c r="FU12" s="29">
        <f t="shared" si="16"/>
        <v>0</v>
      </c>
      <c r="FV12" s="5"/>
      <c r="FW12" s="29">
        <f t="shared" si="16"/>
        <v>0</v>
      </c>
      <c r="FX12" s="5"/>
      <c r="FY12" s="29">
        <f t="shared" si="16"/>
        <v>0</v>
      </c>
      <c r="FZ12" s="5"/>
      <c r="GA12" s="29">
        <f t="shared" si="17"/>
        <v>0</v>
      </c>
      <c r="GB12" s="5"/>
      <c r="GC12" s="29">
        <f t="shared" si="18"/>
        <v>0</v>
      </c>
      <c r="GD12" s="5"/>
      <c r="GE12" s="29">
        <f t="shared" si="18"/>
        <v>0</v>
      </c>
      <c r="GF12" s="5"/>
      <c r="GG12" s="29">
        <f t="shared" si="18"/>
        <v>0</v>
      </c>
      <c r="GH12" s="5"/>
      <c r="GI12" s="29">
        <f t="shared" si="19"/>
        <v>0</v>
      </c>
      <c r="GJ12" s="5"/>
      <c r="GK12" s="29">
        <f t="shared" si="20"/>
        <v>0</v>
      </c>
      <c r="GL12" s="5"/>
      <c r="GM12" s="29">
        <f t="shared" si="20"/>
        <v>0</v>
      </c>
      <c r="GN12" s="5"/>
      <c r="GO12" s="29">
        <f t="shared" si="21"/>
        <v>0</v>
      </c>
      <c r="GP12" s="5"/>
      <c r="GQ12" s="29">
        <f t="shared" si="22"/>
        <v>0</v>
      </c>
      <c r="GR12" s="5"/>
      <c r="GS12" s="29">
        <f t="shared" si="23"/>
        <v>0</v>
      </c>
      <c r="GT12" s="5"/>
      <c r="GU12" s="29">
        <f t="shared" si="23"/>
        <v>0</v>
      </c>
    </row>
    <row r="13" spans="1:203">
      <c r="A13" s="96" t="s">
        <v>95</v>
      </c>
      <c r="C13" s="29"/>
      <c r="E13" s="29"/>
      <c r="G13" s="29"/>
      <c r="I13" s="29">
        <v>66247.999999999767</v>
      </c>
      <c r="K13" s="29">
        <v>883930.46</v>
      </c>
      <c r="M13" s="29">
        <v>770657.72500004154</v>
      </c>
      <c r="O13" s="29">
        <v>709356.71</v>
      </c>
      <c r="Q13" s="29">
        <v>0</v>
      </c>
      <c r="S13" s="29">
        <v>0</v>
      </c>
      <c r="U13" s="29">
        <v>0</v>
      </c>
      <c r="W13" s="29">
        <v>0</v>
      </c>
      <c r="Y13" s="29">
        <v>0</v>
      </c>
      <c r="AA13" s="29">
        <v>-212592.18000000002</v>
      </c>
      <c r="AC13" s="29">
        <v>-216587.18000000002</v>
      </c>
      <c r="AE13" s="29">
        <v>-216587.18000000002</v>
      </c>
      <c r="AG13" s="29">
        <v>-216587.18000000002</v>
      </c>
      <c r="AI13" s="29">
        <v>30524.31</v>
      </c>
      <c r="AK13" s="29">
        <v>6879.9999776482582</v>
      </c>
      <c r="AM13" s="29">
        <v>1840.62</v>
      </c>
      <c r="AO13" s="29">
        <v>0</v>
      </c>
      <c r="AQ13" s="29">
        <v>62266.240000000005</v>
      </c>
      <c r="AS13" s="29">
        <v>-6116.42</v>
      </c>
      <c r="AU13" s="29">
        <v>-4273.4900000000007</v>
      </c>
      <c r="AW13" s="29">
        <v>0</v>
      </c>
      <c r="AY13" s="29">
        <v>255023.35999999993</v>
      </c>
      <c r="BA13" s="29">
        <v>79258.149999999994</v>
      </c>
      <c r="BC13" s="29">
        <v>79258.149999999994</v>
      </c>
      <c r="BE13" s="29">
        <v>49762.23</v>
      </c>
      <c r="BG13" s="29">
        <v>33045.679999999869</v>
      </c>
      <c r="BI13" s="29">
        <v>-43076.01</v>
      </c>
      <c r="BK13" s="29">
        <v>-31696.009999999995</v>
      </c>
      <c r="BM13" s="29">
        <v>-25271.56</v>
      </c>
      <c r="BO13" s="29">
        <v>-25271.56</v>
      </c>
      <c r="BQ13" s="29">
        <v>-25271.560000000005</v>
      </c>
      <c r="BS13" s="29">
        <v>-30653.919999999998</v>
      </c>
      <c r="BU13" s="29">
        <v>-233033.21</v>
      </c>
      <c r="BW13" s="29">
        <v>-81.3</v>
      </c>
      <c r="BY13" s="29">
        <v>0</v>
      </c>
      <c r="CA13" s="29">
        <v>-81.3</v>
      </c>
      <c r="CC13" s="29">
        <v>-71987.360000000001</v>
      </c>
      <c r="CE13" s="29">
        <v>0</v>
      </c>
      <c r="CG13" s="29">
        <v>0</v>
      </c>
      <c r="CI13" s="29">
        <v>0</v>
      </c>
      <c r="CK13" s="29">
        <v>-122719.11</v>
      </c>
      <c r="CM13" s="29">
        <v>-64886.61</v>
      </c>
      <c r="CO13" s="29">
        <v>-5790.3999999999942</v>
      </c>
      <c r="CQ13" s="29">
        <v>-8446.26</v>
      </c>
      <c r="CS13" s="29">
        <v>-96463.17</v>
      </c>
      <c r="CU13" s="29">
        <v>-16540.650000000001</v>
      </c>
      <c r="CW13" s="29">
        <v>-16540.650000000001</v>
      </c>
      <c r="CY13" s="29">
        <v>-11500</v>
      </c>
      <c r="DA13" s="29">
        <v>92483.72</v>
      </c>
      <c r="DC13" s="29"/>
      <c r="DD13" s="5"/>
      <c r="DE13" s="29"/>
      <c r="DF13" s="5"/>
      <c r="DG13" s="29"/>
      <c r="DH13" s="5"/>
      <c r="DI13" s="29">
        <f t="shared" si="1"/>
        <v>66247.999999999767</v>
      </c>
      <c r="DJ13" s="5"/>
      <c r="DK13" s="29">
        <f t="shared" si="24"/>
        <v>113272.73499995843</v>
      </c>
      <c r="DL13" s="5"/>
      <c r="DM13" s="29">
        <f t="shared" si="24"/>
        <v>61301.015000041574</v>
      </c>
      <c r="DN13" s="5"/>
      <c r="DO13" s="29">
        <f t="shared" si="24"/>
        <v>709356.71</v>
      </c>
      <c r="DP13" s="5"/>
      <c r="DQ13" s="29">
        <f t="shared" si="2"/>
        <v>0</v>
      </c>
      <c r="DR13" s="5"/>
      <c r="DS13" s="29">
        <f t="shared" si="3"/>
        <v>0</v>
      </c>
      <c r="DT13" s="5"/>
      <c r="DU13" s="29">
        <f t="shared" si="3"/>
        <v>0</v>
      </c>
      <c r="DV13" s="5"/>
      <c r="DW13" s="29">
        <f t="shared" si="3"/>
        <v>0</v>
      </c>
      <c r="DX13" s="5"/>
      <c r="DY13" s="29">
        <f t="shared" si="4"/>
        <v>0</v>
      </c>
      <c r="DZ13" s="5"/>
      <c r="EA13" s="29">
        <f t="shared" si="27"/>
        <v>3995</v>
      </c>
      <c r="EB13" s="5"/>
      <c r="EC13" s="29">
        <f t="shared" si="27"/>
        <v>0</v>
      </c>
      <c r="ED13" s="5"/>
      <c r="EE13" s="29">
        <f t="shared" si="27"/>
        <v>0</v>
      </c>
      <c r="EF13" s="5"/>
      <c r="EG13" s="29">
        <f t="shared" si="28"/>
        <v>-216587.18000000002</v>
      </c>
      <c r="EH13" s="5"/>
      <c r="EI13" s="29">
        <f t="shared" si="25"/>
        <v>23644.310022351743</v>
      </c>
      <c r="EJ13" s="5"/>
      <c r="EK13" s="29">
        <f t="shared" si="25"/>
        <v>5039.3799776482583</v>
      </c>
      <c r="EL13" s="5"/>
      <c r="EM13" s="29">
        <f t="shared" si="25"/>
        <v>1840.62</v>
      </c>
      <c r="EN13" s="5"/>
      <c r="EO13" s="29">
        <f t="shared" si="26"/>
        <v>0</v>
      </c>
      <c r="EP13" s="5"/>
      <c r="EQ13" s="29">
        <f t="shared" si="5"/>
        <v>68382.66</v>
      </c>
      <c r="ER13" s="5"/>
      <c r="ES13" s="29">
        <f t="shared" si="6"/>
        <v>-1842.9299999999994</v>
      </c>
      <c r="ET13" s="5"/>
      <c r="EU13" s="29">
        <f t="shared" si="7"/>
        <v>-4273.4900000000007</v>
      </c>
      <c r="EV13" s="5"/>
      <c r="EW13" s="29">
        <f t="shared" si="8"/>
        <v>0</v>
      </c>
      <c r="EX13" s="5"/>
      <c r="EY13" s="29">
        <f t="shared" si="9"/>
        <v>175765.20999999993</v>
      </c>
      <c r="EZ13" s="5"/>
      <c r="FA13" s="29">
        <f t="shared" si="9"/>
        <v>0</v>
      </c>
      <c r="FB13" s="5"/>
      <c r="FC13" s="29">
        <f t="shared" si="9"/>
        <v>29495.919999999991</v>
      </c>
      <c r="FD13" s="5"/>
      <c r="FE13" s="29">
        <f t="shared" si="10"/>
        <v>49762.23</v>
      </c>
      <c r="FF13" s="5"/>
      <c r="FG13" s="29">
        <v>76121.689999999871</v>
      </c>
      <c r="FH13" s="5"/>
      <c r="FI13" s="29">
        <f t="shared" si="11"/>
        <v>-11380.000000000007</v>
      </c>
      <c r="FJ13" s="5"/>
      <c r="FK13" s="29">
        <f t="shared" si="11"/>
        <v>-6424.4499999999935</v>
      </c>
      <c r="FL13" s="5"/>
      <c r="FM13" s="29">
        <f t="shared" si="12"/>
        <v>0</v>
      </c>
      <c r="FN13" s="5"/>
      <c r="FO13" s="29">
        <f t="shared" si="13"/>
        <v>0</v>
      </c>
      <c r="FP13" s="5"/>
      <c r="FQ13" s="29">
        <f t="shared" si="14"/>
        <v>5382.3599999999933</v>
      </c>
      <c r="FR13" s="5"/>
      <c r="FS13" s="29">
        <f t="shared" si="15"/>
        <v>-30653.919999999998</v>
      </c>
      <c r="FT13" s="5"/>
      <c r="FU13" s="29">
        <f t="shared" si="16"/>
        <v>-232951.91</v>
      </c>
      <c r="FV13" s="5"/>
      <c r="FW13" s="29">
        <f t="shared" si="16"/>
        <v>-81.3</v>
      </c>
      <c r="FX13" s="5"/>
      <c r="FY13" s="29">
        <f t="shared" si="16"/>
        <v>81.3</v>
      </c>
      <c r="FZ13" s="5"/>
      <c r="GA13" s="29">
        <f t="shared" si="17"/>
        <v>-81.3</v>
      </c>
      <c r="GB13" s="5"/>
      <c r="GC13" s="29">
        <f t="shared" si="18"/>
        <v>-71987.360000000001</v>
      </c>
      <c r="GD13" s="5"/>
      <c r="GE13" s="29">
        <f t="shared" si="18"/>
        <v>0</v>
      </c>
      <c r="GF13" s="5"/>
      <c r="GG13" s="29">
        <f t="shared" si="18"/>
        <v>0</v>
      </c>
      <c r="GH13" s="5"/>
      <c r="GI13" s="29">
        <f t="shared" si="19"/>
        <v>0</v>
      </c>
      <c r="GJ13" s="5"/>
      <c r="GK13" s="29">
        <f t="shared" si="20"/>
        <v>-57832.5</v>
      </c>
      <c r="GL13" s="5"/>
      <c r="GM13" s="29">
        <f t="shared" si="20"/>
        <v>-59096.210000000006</v>
      </c>
      <c r="GN13" s="5"/>
      <c r="GO13" s="29">
        <f t="shared" si="21"/>
        <v>2655.860000000006</v>
      </c>
      <c r="GP13" s="5"/>
      <c r="GQ13" s="29">
        <f t="shared" si="22"/>
        <v>-8446.26</v>
      </c>
      <c r="GR13" s="5"/>
      <c r="GS13" s="29">
        <f t="shared" si="23"/>
        <v>-79922.51999999999</v>
      </c>
      <c r="GT13" s="5"/>
      <c r="GU13" s="29">
        <f t="shared" si="23"/>
        <v>0</v>
      </c>
    </row>
    <row r="14" spans="1:203">
      <c r="A14" s="96" t="s">
        <v>96</v>
      </c>
      <c r="C14" s="29"/>
      <c r="E14" s="29"/>
      <c r="G14" s="29"/>
      <c r="I14" s="29">
        <v>-27910238.769435994</v>
      </c>
      <c r="K14" s="29">
        <v>16827399.84</v>
      </c>
      <c r="M14" s="29">
        <v>-5925576.6103440039</v>
      </c>
      <c r="O14" s="29">
        <v>-10295078.220000003</v>
      </c>
      <c r="Q14" s="29">
        <v>4078888.1694509955</v>
      </c>
      <c r="S14" s="29">
        <v>29224290.75</v>
      </c>
      <c r="U14" s="29">
        <v>20902340.829435002</v>
      </c>
      <c r="W14" s="29">
        <v>20206553.839190003</v>
      </c>
      <c r="Y14" s="29">
        <v>38169222.027999997</v>
      </c>
      <c r="AA14" s="29">
        <v>-45441587.745151997</v>
      </c>
      <c r="AC14" s="29">
        <v>-25935133.865024</v>
      </c>
      <c r="AE14" s="29">
        <v>-14242116.663887</v>
      </c>
      <c r="AG14" s="29">
        <v>-13403585.440000001</v>
      </c>
      <c r="AI14" s="29">
        <v>3195444.5499999993</v>
      </c>
      <c r="AK14" s="29">
        <v>-4825022.4400000013</v>
      </c>
      <c r="AM14" s="29">
        <v>2914216.2199999997</v>
      </c>
      <c r="AO14" s="29">
        <v>-446200.3300000006</v>
      </c>
      <c r="AQ14" s="29">
        <v>-3360404.6099999994</v>
      </c>
      <c r="AS14" s="29">
        <v>23168.500000000222</v>
      </c>
      <c r="AU14" s="29">
        <v>-7450310.4800000004</v>
      </c>
      <c r="AW14" s="29">
        <v>-15796471.75</v>
      </c>
      <c r="AY14" s="29">
        <v>1543729.3499999996</v>
      </c>
      <c r="BA14" s="29">
        <v>-608883.01000000141</v>
      </c>
      <c r="BC14" s="29">
        <v>138676.41999999899</v>
      </c>
      <c r="BE14" s="29">
        <v>692728.00999999931</v>
      </c>
      <c r="BG14" s="29">
        <v>229309.12000000046</v>
      </c>
      <c r="BI14" s="29">
        <v>436043.23000000051</v>
      </c>
      <c r="BK14" s="29">
        <v>495526.8000000008</v>
      </c>
      <c r="BM14" s="29">
        <v>518847.73000000039</v>
      </c>
      <c r="BO14" s="29">
        <v>2391590.5499999998</v>
      </c>
      <c r="BQ14" s="29">
        <v>1919093.8399999994</v>
      </c>
      <c r="BS14" s="29">
        <v>-344067.62999999989</v>
      </c>
      <c r="BU14" s="29">
        <v>-767284.18000000063</v>
      </c>
      <c r="BW14" s="29">
        <v>-887922.89999999944</v>
      </c>
      <c r="BY14" s="29">
        <v>48565.379999999888</v>
      </c>
      <c r="CA14" s="29">
        <v>-42559.340000000782</v>
      </c>
      <c r="CC14" s="29">
        <v>-2328993.5499999993</v>
      </c>
      <c r="CE14" s="29">
        <v>-2252462.8800000004</v>
      </c>
      <c r="CG14" s="29">
        <v>-2350206.8400000003</v>
      </c>
      <c r="CI14" s="29">
        <v>-1506335.69</v>
      </c>
      <c r="CK14" s="29">
        <v>-876531.91000000015</v>
      </c>
      <c r="CM14" s="29">
        <v>-327785.09000000008</v>
      </c>
      <c r="CO14" s="29">
        <v>-151646.15999999992</v>
      </c>
      <c r="CQ14" s="29">
        <v>-218341.78000000003</v>
      </c>
      <c r="CS14" s="29">
        <v>720918.32000000007</v>
      </c>
      <c r="CU14" s="29">
        <v>-3179024.33</v>
      </c>
      <c r="CW14" s="29">
        <v>-3998832.49</v>
      </c>
      <c r="CY14" s="29">
        <v>-770341.53</v>
      </c>
      <c r="DA14" s="29">
        <v>106480.55000000005</v>
      </c>
      <c r="DC14" s="29"/>
      <c r="DD14" s="5"/>
      <c r="DE14" s="29"/>
      <c r="DF14" s="5"/>
      <c r="DG14" s="29"/>
      <c r="DH14" s="5"/>
      <c r="DI14" s="29">
        <f t="shared" si="1"/>
        <v>-27910238.769435994</v>
      </c>
      <c r="DJ14" s="5"/>
      <c r="DK14" s="29">
        <f t="shared" si="24"/>
        <v>22752976.450344004</v>
      </c>
      <c r="DL14" s="5"/>
      <c r="DM14" s="29">
        <f t="shared" si="24"/>
        <v>4369501.6096559986</v>
      </c>
      <c r="DN14" s="5"/>
      <c r="DO14" s="29">
        <f t="shared" si="24"/>
        <v>-14373966.389450997</v>
      </c>
      <c r="DP14" s="5"/>
      <c r="DQ14" s="29">
        <f t="shared" si="2"/>
        <v>4078888.1694509955</v>
      </c>
      <c r="DR14" s="5"/>
      <c r="DS14" s="29">
        <f t="shared" si="3"/>
        <v>8321949.9205649979</v>
      </c>
      <c r="DT14" s="5"/>
      <c r="DU14" s="29">
        <f t="shared" si="3"/>
        <v>695786.99024499953</v>
      </c>
      <c r="DV14" s="5"/>
      <c r="DW14" s="29">
        <f t="shared" si="3"/>
        <v>-17962668.188809995</v>
      </c>
      <c r="DX14" s="5"/>
      <c r="DY14" s="29">
        <f t="shared" si="4"/>
        <v>38169222.027999997</v>
      </c>
      <c r="DZ14" s="5"/>
      <c r="EA14" s="29">
        <f t="shared" si="27"/>
        <v>-19506453.880127996</v>
      </c>
      <c r="EB14" s="5"/>
      <c r="EC14" s="29">
        <f t="shared" si="27"/>
        <v>-11693017.201137001</v>
      </c>
      <c r="ED14" s="5"/>
      <c r="EE14" s="29">
        <f t="shared" si="27"/>
        <v>-838531.22388699837</v>
      </c>
      <c r="EF14" s="5"/>
      <c r="EG14" s="29">
        <f t="shared" si="28"/>
        <v>-13403585.440000001</v>
      </c>
      <c r="EH14" s="5"/>
      <c r="EI14" s="29">
        <f t="shared" si="25"/>
        <v>8020466.9900000002</v>
      </c>
      <c r="EJ14" s="5"/>
      <c r="EK14" s="29">
        <f t="shared" si="25"/>
        <v>-7739238.6600000011</v>
      </c>
      <c r="EL14" s="5"/>
      <c r="EM14" s="29">
        <f t="shared" si="25"/>
        <v>3360416.5500000003</v>
      </c>
      <c r="EN14" s="5"/>
      <c r="EO14" s="29">
        <f t="shared" si="26"/>
        <v>-446200.3300000006</v>
      </c>
      <c r="EP14" s="5"/>
      <c r="EQ14" s="29">
        <f t="shared" si="5"/>
        <v>-3383573.1099999994</v>
      </c>
      <c r="ER14" s="5"/>
      <c r="ES14" s="29">
        <f t="shared" si="6"/>
        <v>7473478.9800000004</v>
      </c>
      <c r="ET14" s="5"/>
      <c r="EU14" s="29">
        <f t="shared" si="7"/>
        <v>8346161.2699999996</v>
      </c>
      <c r="EV14" s="5"/>
      <c r="EW14" s="29">
        <f t="shared" si="8"/>
        <v>-15796471.75</v>
      </c>
      <c r="EX14" s="5"/>
      <c r="EY14" s="29">
        <f t="shared" si="9"/>
        <v>2152612.3600000013</v>
      </c>
      <c r="EZ14" s="5"/>
      <c r="FA14" s="29">
        <f t="shared" si="9"/>
        <v>-747559.4300000004</v>
      </c>
      <c r="FB14" s="5"/>
      <c r="FC14" s="29">
        <f t="shared" si="9"/>
        <v>-554051.59000000032</v>
      </c>
      <c r="FD14" s="5"/>
      <c r="FE14" s="29">
        <f t="shared" si="10"/>
        <v>692728.00999999931</v>
      </c>
      <c r="FF14" s="5"/>
      <c r="FG14" s="29">
        <v>-206734.11000000004</v>
      </c>
      <c r="FH14" s="5"/>
      <c r="FI14" s="29">
        <f t="shared" si="11"/>
        <v>-59483.570000000298</v>
      </c>
      <c r="FJ14" s="5"/>
      <c r="FK14" s="29">
        <f t="shared" si="11"/>
        <v>-23320.929999999586</v>
      </c>
      <c r="FL14" s="5"/>
      <c r="FM14" s="29">
        <f t="shared" si="12"/>
        <v>-1872742.8199999994</v>
      </c>
      <c r="FN14" s="5"/>
      <c r="FO14" s="29">
        <f t="shared" si="13"/>
        <v>472496.71000000043</v>
      </c>
      <c r="FP14" s="5"/>
      <c r="FQ14" s="29">
        <f t="shared" si="14"/>
        <v>2263161.4699999993</v>
      </c>
      <c r="FR14" s="5"/>
      <c r="FS14" s="29">
        <f t="shared" si="15"/>
        <v>-344067.62999999989</v>
      </c>
      <c r="FT14" s="5"/>
      <c r="FU14" s="29">
        <f t="shared" si="16"/>
        <v>120638.71999999881</v>
      </c>
      <c r="FV14" s="5"/>
      <c r="FW14" s="29">
        <f t="shared" si="16"/>
        <v>-936488.27999999933</v>
      </c>
      <c r="FX14" s="5"/>
      <c r="FY14" s="29">
        <f t="shared" si="16"/>
        <v>91124.720000000671</v>
      </c>
      <c r="FZ14" s="5"/>
      <c r="GA14" s="29">
        <f t="shared" si="17"/>
        <v>-42559.340000000782</v>
      </c>
      <c r="GB14" s="5"/>
      <c r="GC14" s="29">
        <f t="shared" si="18"/>
        <v>-76530.669999998994</v>
      </c>
      <c r="GD14" s="5"/>
      <c r="GE14" s="29">
        <f t="shared" si="18"/>
        <v>97743.959999999963</v>
      </c>
      <c r="GF14" s="5"/>
      <c r="GG14" s="29">
        <f t="shared" si="18"/>
        <v>-843871.15000000037</v>
      </c>
      <c r="GH14" s="5"/>
      <c r="GI14" s="29">
        <f t="shared" si="19"/>
        <v>-1506335.69</v>
      </c>
      <c r="GJ14" s="5"/>
      <c r="GK14" s="29">
        <f t="shared" si="20"/>
        <v>-548746.82000000007</v>
      </c>
      <c r="GL14" s="5"/>
      <c r="GM14" s="29">
        <f t="shared" si="20"/>
        <v>-176138.93000000017</v>
      </c>
      <c r="GN14" s="5"/>
      <c r="GO14" s="29">
        <f t="shared" si="21"/>
        <v>66695.620000000112</v>
      </c>
      <c r="GP14" s="5"/>
      <c r="GQ14" s="29">
        <f t="shared" si="22"/>
        <v>-218341.78000000003</v>
      </c>
      <c r="GR14" s="5"/>
      <c r="GS14" s="29">
        <f t="shared" si="23"/>
        <v>3899942.6500000004</v>
      </c>
      <c r="GT14" s="5"/>
      <c r="GU14" s="29">
        <f t="shared" si="23"/>
        <v>819808.16000000015</v>
      </c>
    </row>
    <row r="15" spans="1:203">
      <c r="A15" s="96" t="s">
        <v>97</v>
      </c>
      <c r="C15" s="29"/>
      <c r="E15" s="29"/>
      <c r="G15" s="29"/>
      <c r="I15" s="29">
        <v>24900008.04143003</v>
      </c>
      <c r="K15" s="29">
        <v>-32170786.800000001</v>
      </c>
      <c r="M15" s="29">
        <v>-15611919.769015994</v>
      </c>
      <c r="O15" s="29">
        <v>8146262.5400000038</v>
      </c>
      <c r="Q15" s="29">
        <v>17043895.133792989</v>
      </c>
      <c r="S15" s="29">
        <v>-32288459.379999999</v>
      </c>
      <c r="U15" s="29">
        <v>-28389806.688319974</v>
      </c>
      <c r="W15" s="29">
        <v>-10155130.616882008</v>
      </c>
      <c r="Y15" s="29">
        <v>-15032173.42</v>
      </c>
      <c r="AA15" s="29">
        <v>-3947018.0866800081</v>
      </c>
      <c r="AC15" s="29">
        <v>9776838.507961994</v>
      </c>
      <c r="AE15" s="29">
        <v>-4334659.060796001</v>
      </c>
      <c r="AG15" s="29">
        <v>25256274.929999992</v>
      </c>
      <c r="AI15" s="29">
        <v>-9144294.3999999966</v>
      </c>
      <c r="AK15" s="29">
        <v>12199664.68</v>
      </c>
      <c r="AM15" s="29">
        <v>7150798.9200000027</v>
      </c>
      <c r="AO15" s="29">
        <v>10280344.130000003</v>
      </c>
      <c r="AQ15" s="29">
        <v>-553993.52000001073</v>
      </c>
      <c r="AS15" s="29">
        <v>7621765.7199999969</v>
      </c>
      <c r="AU15" s="29">
        <v>-6957373.2000000076</v>
      </c>
      <c r="AW15" s="29">
        <v>5650214.0499999952</v>
      </c>
      <c r="AY15" s="29">
        <v>-10571669.069999993</v>
      </c>
      <c r="BA15" s="29">
        <v>-899584.45999999915</v>
      </c>
      <c r="BC15" s="29">
        <v>-1747767.7500000019</v>
      </c>
      <c r="BE15" s="29">
        <v>-3431272.6999999941</v>
      </c>
      <c r="BG15" s="29">
        <v>-5716872.2200000007</v>
      </c>
      <c r="BI15" s="29">
        <v>-1632278.8247000338</v>
      </c>
      <c r="BK15" s="29">
        <v>-5294290.2274249503</v>
      </c>
      <c r="BM15" s="29">
        <v>-7696228.169999999</v>
      </c>
      <c r="BO15" s="29">
        <v>-6653113.0699999975</v>
      </c>
      <c r="BQ15" s="29">
        <v>-1645596.6199999973</v>
      </c>
      <c r="BS15" s="29">
        <v>1771026.8000000026</v>
      </c>
      <c r="BU15" s="29">
        <v>6727923.3099999996</v>
      </c>
      <c r="BW15" s="29">
        <v>124237.75000000506</v>
      </c>
      <c r="BY15" s="29">
        <v>7480397.540000001</v>
      </c>
      <c r="CA15" s="29">
        <v>8655975.1899999995</v>
      </c>
      <c r="CC15" s="29">
        <v>1788782.1299999997</v>
      </c>
      <c r="CE15" s="29">
        <v>-8961161.4799999986</v>
      </c>
      <c r="CG15" s="29">
        <v>7408827.8999999994</v>
      </c>
      <c r="CI15" s="29">
        <v>2331035.6100000013</v>
      </c>
      <c r="CK15" s="29">
        <v>4534846.0999999978</v>
      </c>
      <c r="CM15" s="29">
        <v>-14063011.359999992</v>
      </c>
      <c r="CO15" s="29">
        <v>-2900075.4900000021</v>
      </c>
      <c r="CQ15" s="29">
        <v>1715341.679999996</v>
      </c>
      <c r="CS15" s="29">
        <v>-2637622.8699999978</v>
      </c>
      <c r="CU15" s="29">
        <v>464287.85000000015</v>
      </c>
      <c r="CW15" s="29">
        <v>10687286.340000004</v>
      </c>
      <c r="CY15" s="29">
        <v>-13879767.020000001</v>
      </c>
      <c r="DA15" s="29">
        <v>-1850257.4999999995</v>
      </c>
      <c r="DC15" s="29"/>
      <c r="DD15" s="5"/>
      <c r="DE15" s="29"/>
      <c r="DF15" s="5"/>
      <c r="DG15" s="29"/>
      <c r="DH15" s="5"/>
      <c r="DI15" s="29">
        <f t="shared" si="1"/>
        <v>24900008.04143003</v>
      </c>
      <c r="DJ15" s="5"/>
      <c r="DK15" s="29">
        <f t="shared" si="24"/>
        <v>-16558867.030984007</v>
      </c>
      <c r="DL15" s="5"/>
      <c r="DM15" s="29">
        <f t="shared" si="24"/>
        <v>-23758182.309015997</v>
      </c>
      <c r="DN15" s="5"/>
      <c r="DO15" s="29">
        <f t="shared" si="24"/>
        <v>-8897632.5937929861</v>
      </c>
      <c r="DP15" s="5"/>
      <c r="DQ15" s="29">
        <f t="shared" si="2"/>
        <v>17043895.133792989</v>
      </c>
      <c r="DR15" s="5"/>
      <c r="DS15" s="29">
        <f t="shared" si="3"/>
        <v>-3898652.6916800253</v>
      </c>
      <c r="DT15" s="5"/>
      <c r="DU15" s="29">
        <f t="shared" si="3"/>
        <v>-18234676.071437966</v>
      </c>
      <c r="DV15" s="5"/>
      <c r="DW15" s="29">
        <f t="shared" si="3"/>
        <v>4877042.8031179924</v>
      </c>
      <c r="DX15" s="5"/>
      <c r="DY15" s="29">
        <f t="shared" si="4"/>
        <v>-15032173.42</v>
      </c>
      <c r="DZ15" s="5"/>
      <c r="EA15" s="29">
        <f t="shared" si="27"/>
        <v>-13723856.594642002</v>
      </c>
      <c r="EB15" s="5"/>
      <c r="EC15" s="29">
        <f t="shared" si="27"/>
        <v>14111497.568757996</v>
      </c>
      <c r="ED15" s="5"/>
      <c r="EE15" s="29">
        <f t="shared" si="27"/>
        <v>-29590933.990795992</v>
      </c>
      <c r="EF15" s="5"/>
      <c r="EG15" s="29">
        <f t="shared" si="28"/>
        <v>25256274.929999992</v>
      </c>
      <c r="EH15" s="5"/>
      <c r="EI15" s="29">
        <f t="shared" si="25"/>
        <v>-21343959.079999998</v>
      </c>
      <c r="EJ15" s="5"/>
      <c r="EK15" s="29">
        <f t="shared" si="25"/>
        <v>5048865.759999997</v>
      </c>
      <c r="EL15" s="5"/>
      <c r="EM15" s="29">
        <f t="shared" si="25"/>
        <v>-3129545.21</v>
      </c>
      <c r="EN15" s="5"/>
      <c r="EO15" s="29">
        <f t="shared" si="26"/>
        <v>10280344.130000003</v>
      </c>
      <c r="EP15" s="5"/>
      <c r="EQ15" s="29">
        <f t="shared" si="5"/>
        <v>-8175759.2400000077</v>
      </c>
      <c r="ER15" s="5"/>
      <c r="ES15" s="29">
        <f t="shared" si="6"/>
        <v>14579138.920000006</v>
      </c>
      <c r="ET15" s="5"/>
      <c r="EU15" s="29">
        <f t="shared" si="7"/>
        <v>-12607587.250000004</v>
      </c>
      <c r="EV15" s="5"/>
      <c r="EW15" s="29">
        <f t="shared" si="8"/>
        <v>5650214.0499999952</v>
      </c>
      <c r="EX15" s="5"/>
      <c r="EY15" s="29">
        <f t="shared" si="9"/>
        <v>-9672084.6099999938</v>
      </c>
      <c r="EZ15" s="5"/>
      <c r="FA15" s="29">
        <f t="shared" si="9"/>
        <v>848183.29000000271</v>
      </c>
      <c r="FB15" s="5"/>
      <c r="FC15" s="29">
        <f t="shared" si="9"/>
        <v>1683504.9499999923</v>
      </c>
      <c r="FD15" s="5"/>
      <c r="FE15" s="29">
        <f t="shared" si="10"/>
        <v>-3431272.6999999941</v>
      </c>
      <c r="FF15" s="5"/>
      <c r="FG15" s="29">
        <v>-4084593.3952999674</v>
      </c>
      <c r="FH15" s="5"/>
      <c r="FI15" s="29">
        <f t="shared" si="11"/>
        <v>3662011.4027249166</v>
      </c>
      <c r="FJ15" s="5"/>
      <c r="FK15" s="29">
        <f t="shared" si="11"/>
        <v>2401937.9425750487</v>
      </c>
      <c r="FL15" s="5"/>
      <c r="FM15" s="29">
        <f t="shared" si="12"/>
        <v>-1043115.1000000015</v>
      </c>
      <c r="FN15" s="5"/>
      <c r="FO15" s="29">
        <f t="shared" si="13"/>
        <v>-5007516.45</v>
      </c>
      <c r="FP15" s="5"/>
      <c r="FQ15" s="29">
        <f t="shared" si="14"/>
        <v>-3416623.42</v>
      </c>
      <c r="FR15" s="5"/>
      <c r="FS15" s="29">
        <f t="shared" si="15"/>
        <v>1771026.8000000026</v>
      </c>
      <c r="FT15" s="5"/>
      <c r="FU15" s="29">
        <f t="shared" si="16"/>
        <v>6603685.5599999949</v>
      </c>
      <c r="FV15" s="5"/>
      <c r="FW15" s="29">
        <f t="shared" si="16"/>
        <v>-7356159.7899999963</v>
      </c>
      <c r="FX15" s="5"/>
      <c r="FY15" s="29">
        <f t="shared" si="16"/>
        <v>-1175577.6499999985</v>
      </c>
      <c r="FZ15" s="5"/>
      <c r="GA15" s="29">
        <f t="shared" si="17"/>
        <v>8655975.1899999995</v>
      </c>
      <c r="GB15" s="5"/>
      <c r="GC15" s="29">
        <f t="shared" si="18"/>
        <v>10749943.609999998</v>
      </c>
      <c r="GD15" s="5"/>
      <c r="GE15" s="29">
        <f t="shared" si="18"/>
        <v>-16369989.379999999</v>
      </c>
      <c r="GF15" s="5"/>
      <c r="GG15" s="29">
        <f t="shared" si="18"/>
        <v>5077792.2899999982</v>
      </c>
      <c r="GH15" s="5"/>
      <c r="GI15" s="29">
        <f t="shared" si="19"/>
        <v>2331035.6100000013</v>
      </c>
      <c r="GJ15" s="5"/>
      <c r="GK15" s="29">
        <f t="shared" si="20"/>
        <v>18597857.45999999</v>
      </c>
      <c r="GL15" s="5"/>
      <c r="GM15" s="29">
        <f t="shared" si="20"/>
        <v>-11162935.86999999</v>
      </c>
      <c r="GN15" s="5"/>
      <c r="GO15" s="29">
        <f t="shared" si="21"/>
        <v>-4615417.1699999981</v>
      </c>
      <c r="GP15" s="5"/>
      <c r="GQ15" s="29">
        <f t="shared" si="22"/>
        <v>1715341.679999996</v>
      </c>
      <c r="GR15" s="5"/>
      <c r="GS15" s="29">
        <f t="shared" si="23"/>
        <v>-3101910.7199999979</v>
      </c>
      <c r="GT15" s="5"/>
      <c r="GU15" s="29">
        <f t="shared" si="23"/>
        <v>-10222998.490000004</v>
      </c>
    </row>
    <row r="16" spans="1:203">
      <c r="A16" s="96" t="s">
        <v>98</v>
      </c>
      <c r="C16" s="29"/>
      <c r="E16" s="29"/>
      <c r="G16" s="29"/>
      <c r="I16" s="29">
        <v>72010677.56188105</v>
      </c>
      <c r="K16" s="29">
        <v>-5882882.5300000003</v>
      </c>
      <c r="M16" s="29">
        <v>-6022106.4831024483</v>
      </c>
      <c r="O16" s="29">
        <v>-16368901.262578424</v>
      </c>
      <c r="Q16" s="29">
        <v>47811942.013038352</v>
      </c>
      <c r="S16" s="29">
        <v>19279975.370000001</v>
      </c>
      <c r="U16" s="29">
        <v>-5836334.2407793542</v>
      </c>
      <c r="W16" s="29">
        <v>2616029.4896948542</v>
      </c>
      <c r="Y16" s="29">
        <v>-19826608.169999972</v>
      </c>
      <c r="AA16" s="29">
        <v>23461995.387920596</v>
      </c>
      <c r="AC16" s="29">
        <v>-2018530.1844737942</v>
      </c>
      <c r="AE16" s="29">
        <v>-2485272.9473710656</v>
      </c>
      <c r="AG16" s="29">
        <v>6261072.0100000026</v>
      </c>
      <c r="AI16" s="29">
        <v>12016542.070000002</v>
      </c>
      <c r="AK16" s="29">
        <v>-3649855.59</v>
      </c>
      <c r="AM16" s="29">
        <v>-6956767.6199999982</v>
      </c>
      <c r="AO16" s="29">
        <v>-2440045.88</v>
      </c>
      <c r="AQ16" s="29">
        <v>634822.30000000179</v>
      </c>
      <c r="AS16" s="29">
        <v>-11725572.979999997</v>
      </c>
      <c r="AU16" s="29">
        <v>2055096.7900000035</v>
      </c>
      <c r="AW16" s="29">
        <v>16390559.340000007</v>
      </c>
      <c r="AY16" s="29">
        <v>3654696.759999997</v>
      </c>
      <c r="BA16" s="29">
        <v>-6027949.8100000061</v>
      </c>
      <c r="BC16" s="29">
        <v>2184815.3199999956</v>
      </c>
      <c r="BE16" s="29">
        <v>18322027.969999999</v>
      </c>
      <c r="BG16" s="29">
        <v>5719780.54</v>
      </c>
      <c r="BI16" s="29">
        <v>-5145590.2800000021</v>
      </c>
      <c r="BK16" s="29">
        <v>-2661115.6100000022</v>
      </c>
      <c r="BM16" s="29">
        <v>16538100.339999998</v>
      </c>
      <c r="BO16" s="29">
        <v>-4715746.5000000028</v>
      </c>
      <c r="BQ16" s="29">
        <v>-6596709.580000001</v>
      </c>
      <c r="BS16" s="29">
        <v>-7161754.7300000004</v>
      </c>
      <c r="BU16" s="29">
        <v>-13984877.459999997</v>
      </c>
      <c r="BW16" s="29">
        <v>-13938584.909999998</v>
      </c>
      <c r="BY16" s="29">
        <v>-18151809.460000005</v>
      </c>
      <c r="CA16" s="29">
        <v>-22093274.460000005</v>
      </c>
      <c r="CC16" s="29">
        <v>2803724.8700000006</v>
      </c>
      <c r="CE16" s="29">
        <v>5457781.3499999996</v>
      </c>
      <c r="CG16" s="29">
        <v>-22088959.439999998</v>
      </c>
      <c r="CI16" s="29">
        <v>-12845398.659999998</v>
      </c>
      <c r="CK16" s="29">
        <v>539561.89869411895</v>
      </c>
      <c r="CM16" s="29">
        <v>-3819197.7483717762</v>
      </c>
      <c r="CO16" s="29">
        <v>-9595065.7000946011</v>
      </c>
      <c r="CQ16" s="29">
        <v>-13457866.404298684</v>
      </c>
      <c r="CS16" s="29">
        <v>-2663009.2089421237</v>
      </c>
      <c r="CU16" s="29">
        <v>-11243519.060991284</v>
      </c>
      <c r="CW16" s="29">
        <v>-18571330.705897681</v>
      </c>
      <c r="CY16" s="29">
        <v>14697636.660248</v>
      </c>
      <c r="DA16" s="29">
        <v>8319140.5900000045</v>
      </c>
      <c r="DC16" s="29"/>
      <c r="DD16" s="5"/>
      <c r="DE16" s="29"/>
      <c r="DF16" s="5"/>
      <c r="DG16" s="29"/>
      <c r="DH16" s="5"/>
      <c r="DI16" s="29">
        <f t="shared" si="1"/>
        <v>72010677.56188105</v>
      </c>
      <c r="DJ16" s="5"/>
      <c r="DK16" s="29">
        <f t="shared" si="24"/>
        <v>139223.95310244802</v>
      </c>
      <c r="DL16" s="5"/>
      <c r="DM16" s="29">
        <f t="shared" si="24"/>
        <v>10346794.779475976</v>
      </c>
      <c r="DN16" s="5"/>
      <c r="DO16" s="29">
        <f t="shared" si="24"/>
        <v>-64180843.27561678</v>
      </c>
      <c r="DP16" s="5"/>
      <c r="DQ16" s="29">
        <f t="shared" si="2"/>
        <v>47811942.013038352</v>
      </c>
      <c r="DR16" s="5"/>
      <c r="DS16" s="29">
        <f t="shared" si="3"/>
        <v>25116309.610779356</v>
      </c>
      <c r="DT16" s="5"/>
      <c r="DU16" s="29">
        <f t="shared" si="3"/>
        <v>-8452363.7304742076</v>
      </c>
      <c r="DV16" s="5"/>
      <c r="DW16" s="29">
        <f t="shared" si="3"/>
        <v>22442637.659694828</v>
      </c>
      <c r="DX16" s="5"/>
      <c r="DY16" s="29">
        <f t="shared" si="4"/>
        <v>-19826608.169999972</v>
      </c>
      <c r="DZ16" s="5"/>
      <c r="EA16" s="29">
        <f t="shared" si="27"/>
        <v>25480525.57239439</v>
      </c>
      <c r="EB16" s="5"/>
      <c r="EC16" s="29">
        <f t="shared" si="27"/>
        <v>466742.76289727143</v>
      </c>
      <c r="ED16" s="5"/>
      <c r="EE16" s="29">
        <f t="shared" si="27"/>
        <v>-8746344.9573710673</v>
      </c>
      <c r="EF16" s="5"/>
      <c r="EG16" s="29">
        <f t="shared" si="28"/>
        <v>6261072.0100000026</v>
      </c>
      <c r="EH16" s="5"/>
      <c r="EI16" s="29">
        <f t="shared" si="25"/>
        <v>15666397.660000002</v>
      </c>
      <c r="EJ16" s="5"/>
      <c r="EK16" s="29">
        <f t="shared" si="25"/>
        <v>3306912.0299999984</v>
      </c>
      <c r="EL16" s="5"/>
      <c r="EM16" s="29">
        <f t="shared" si="25"/>
        <v>-4516721.7399999984</v>
      </c>
      <c r="EN16" s="5"/>
      <c r="EO16" s="29">
        <f t="shared" si="26"/>
        <v>-2440045.88</v>
      </c>
      <c r="EP16" s="5"/>
      <c r="EQ16" s="29">
        <f t="shared" si="5"/>
        <v>12360395.279999999</v>
      </c>
      <c r="ER16" s="5"/>
      <c r="ES16" s="29">
        <f t="shared" si="6"/>
        <v>-13780669.77</v>
      </c>
      <c r="ET16" s="5"/>
      <c r="EU16" s="29">
        <f t="shared" si="7"/>
        <v>-14335462.550000004</v>
      </c>
      <c r="EV16" s="5"/>
      <c r="EW16" s="29">
        <f t="shared" si="8"/>
        <v>16390559.340000007</v>
      </c>
      <c r="EX16" s="5"/>
      <c r="EY16" s="29">
        <f t="shared" si="9"/>
        <v>9682646.570000004</v>
      </c>
      <c r="EZ16" s="5"/>
      <c r="FA16" s="29">
        <f t="shared" si="9"/>
        <v>-8212765.1300000018</v>
      </c>
      <c r="FB16" s="5"/>
      <c r="FC16" s="29">
        <f t="shared" si="9"/>
        <v>-16137212.650000002</v>
      </c>
      <c r="FD16" s="5"/>
      <c r="FE16" s="29">
        <f t="shared" si="10"/>
        <v>18322027.969999999</v>
      </c>
      <c r="FF16" s="5"/>
      <c r="FG16" s="29">
        <v>10865370.820000002</v>
      </c>
      <c r="FH16" s="5"/>
      <c r="FI16" s="29">
        <f t="shared" si="11"/>
        <v>-2484474.67</v>
      </c>
      <c r="FJ16" s="5"/>
      <c r="FK16" s="29">
        <f t="shared" si="11"/>
        <v>-19199215.949999999</v>
      </c>
      <c r="FL16" s="5"/>
      <c r="FM16" s="29">
        <f t="shared" si="12"/>
        <v>21253846.84</v>
      </c>
      <c r="FN16" s="5"/>
      <c r="FO16" s="29">
        <f t="shared" si="13"/>
        <v>1880963.0799999982</v>
      </c>
      <c r="FP16" s="5"/>
      <c r="FQ16" s="29">
        <f t="shared" si="14"/>
        <v>565045.14999999944</v>
      </c>
      <c r="FR16" s="5"/>
      <c r="FS16" s="29">
        <f t="shared" si="15"/>
        <v>-7161754.7300000004</v>
      </c>
      <c r="FT16" s="5"/>
      <c r="FU16" s="29">
        <f t="shared" si="16"/>
        <v>-46292.549999998882</v>
      </c>
      <c r="FV16" s="5"/>
      <c r="FW16" s="29">
        <f t="shared" si="16"/>
        <v>4213224.5500000063</v>
      </c>
      <c r="FX16" s="5"/>
      <c r="FY16" s="29">
        <f t="shared" si="16"/>
        <v>3941465</v>
      </c>
      <c r="FZ16" s="5"/>
      <c r="GA16" s="29">
        <f t="shared" si="17"/>
        <v>-22093274.460000005</v>
      </c>
      <c r="GB16" s="5"/>
      <c r="GC16" s="29">
        <f t="shared" si="18"/>
        <v>-2654056.4799999991</v>
      </c>
      <c r="GD16" s="5"/>
      <c r="GE16" s="29">
        <f t="shared" si="18"/>
        <v>27546740.789999999</v>
      </c>
      <c r="GF16" s="5"/>
      <c r="GG16" s="29">
        <f t="shared" si="18"/>
        <v>-9243560.7799999993</v>
      </c>
      <c r="GH16" s="5"/>
      <c r="GI16" s="29">
        <f t="shared" si="19"/>
        <v>-12845398.659999998</v>
      </c>
      <c r="GJ16" s="5"/>
      <c r="GK16" s="29">
        <f t="shared" si="20"/>
        <v>4358759.6470658947</v>
      </c>
      <c r="GL16" s="5"/>
      <c r="GM16" s="29">
        <f t="shared" si="20"/>
        <v>5775867.9517228249</v>
      </c>
      <c r="GN16" s="5"/>
      <c r="GO16" s="29">
        <f t="shared" si="21"/>
        <v>3862800.7042040825</v>
      </c>
      <c r="GP16" s="5"/>
      <c r="GQ16" s="29">
        <f t="shared" si="22"/>
        <v>-13457866.404298684</v>
      </c>
      <c r="GR16" s="5"/>
      <c r="GS16" s="29">
        <f t="shared" si="23"/>
        <v>8580509.8520491607</v>
      </c>
      <c r="GT16" s="5"/>
      <c r="GU16" s="29">
        <f t="shared" si="23"/>
        <v>7327811.6449063979</v>
      </c>
    </row>
    <row r="17" spans="1:203">
      <c r="A17" s="96" t="s">
        <v>99</v>
      </c>
      <c r="C17" s="29"/>
      <c r="E17" s="29"/>
      <c r="G17" s="29"/>
      <c r="I17" s="29">
        <v>-316.7993749998459</v>
      </c>
      <c r="K17" s="29">
        <v>579286.51</v>
      </c>
      <c r="M17" s="29">
        <v>-21817.283999999745</v>
      </c>
      <c r="O17" s="29">
        <v>-24775.559999999939</v>
      </c>
      <c r="Q17" s="29">
        <v>-17503.131499999879</v>
      </c>
      <c r="S17" s="29">
        <v>-23976.14</v>
      </c>
      <c r="U17" s="29">
        <v>-11916.040500000008</v>
      </c>
      <c r="W17" s="29">
        <v>794.4026999999769</v>
      </c>
      <c r="Y17" s="29">
        <v>-4312.4700000000757</v>
      </c>
      <c r="AA17" s="29">
        <v>330528.41800000001</v>
      </c>
      <c r="AC17" s="29">
        <v>284600.8413999998</v>
      </c>
      <c r="AE17" s="29">
        <v>202855.2613999999</v>
      </c>
      <c r="AG17" s="29">
        <v>0</v>
      </c>
      <c r="AI17" s="29">
        <v>159387.81000000006</v>
      </c>
      <c r="AK17" s="29">
        <v>0</v>
      </c>
      <c r="AM17" s="29">
        <v>0</v>
      </c>
      <c r="AO17" s="29">
        <v>0</v>
      </c>
      <c r="AQ17" s="29">
        <v>-3621.1900000000787</v>
      </c>
      <c r="AS17" s="29">
        <v>53301.649999999965</v>
      </c>
      <c r="AU17" s="29">
        <v>0</v>
      </c>
      <c r="AW17" s="29">
        <v>0</v>
      </c>
      <c r="AY17" s="29">
        <v>36770.440000000053</v>
      </c>
      <c r="BA17" s="29">
        <v>11937.400000000025</v>
      </c>
      <c r="BC17" s="29">
        <v>11937.400000000023</v>
      </c>
      <c r="BE17" s="29">
        <v>11937.400000000023</v>
      </c>
      <c r="BG17" s="29">
        <v>132697.91999999998</v>
      </c>
      <c r="BI17" s="29">
        <v>-7722</v>
      </c>
      <c r="BK17" s="29">
        <v>-7722</v>
      </c>
      <c r="BM17" s="29">
        <v>-7722</v>
      </c>
      <c r="BO17" s="29">
        <v>-7722</v>
      </c>
      <c r="BQ17" s="29">
        <v>-7722</v>
      </c>
      <c r="BS17" s="29">
        <v>-7722</v>
      </c>
      <c r="BU17" s="29">
        <v>65808.31</v>
      </c>
      <c r="BW17" s="29">
        <v>0</v>
      </c>
      <c r="BY17" s="29">
        <v>0</v>
      </c>
      <c r="CA17" s="29">
        <v>0</v>
      </c>
      <c r="CC17" s="29">
        <v>93519.840000000055</v>
      </c>
      <c r="CE17" s="29">
        <v>3.9581209837491471E-11</v>
      </c>
      <c r="CG17" s="29">
        <v>3.9581209837491471E-11</v>
      </c>
      <c r="CI17" s="29">
        <v>7378.9400000000023</v>
      </c>
      <c r="CK17" s="29">
        <v>129822.67</v>
      </c>
      <c r="CM17" s="29">
        <v>0</v>
      </c>
      <c r="CO17" s="29">
        <v>0</v>
      </c>
      <c r="CQ17" s="29">
        <v>0</v>
      </c>
      <c r="CS17" s="29">
        <v>42260.38999999997</v>
      </c>
      <c r="CU17" s="29">
        <v>0</v>
      </c>
      <c r="CW17" s="29">
        <v>0</v>
      </c>
      <c r="CY17" s="29">
        <v>35330.48000000001</v>
      </c>
      <c r="DA17" s="29">
        <v>82292.52</v>
      </c>
      <c r="DC17" s="29"/>
      <c r="DD17" s="5"/>
      <c r="DE17" s="29"/>
      <c r="DF17" s="5"/>
      <c r="DG17" s="29"/>
      <c r="DH17" s="5"/>
      <c r="DI17" s="29">
        <f t="shared" si="1"/>
        <v>-316.7993749998459</v>
      </c>
      <c r="DJ17" s="5"/>
      <c r="DK17" s="29">
        <f t="shared" si="24"/>
        <v>601103.79399999976</v>
      </c>
      <c r="DL17" s="5"/>
      <c r="DM17" s="29">
        <f t="shared" si="24"/>
        <v>2958.2760000001945</v>
      </c>
      <c r="DN17" s="5"/>
      <c r="DO17" s="29">
        <f t="shared" si="24"/>
        <v>-7272.42850000006</v>
      </c>
      <c r="DP17" s="5"/>
      <c r="DQ17" s="29">
        <f t="shared" si="2"/>
        <v>-17503.131499999879</v>
      </c>
      <c r="DR17" s="5"/>
      <c r="DS17" s="29">
        <f t="shared" si="3"/>
        <v>-12060.099499999991</v>
      </c>
      <c r="DT17" s="5"/>
      <c r="DU17" s="29">
        <f t="shared" si="3"/>
        <v>-12710.443199999985</v>
      </c>
      <c r="DV17" s="5"/>
      <c r="DW17" s="29">
        <f t="shared" si="3"/>
        <v>5106.8727000000526</v>
      </c>
      <c r="DX17" s="5"/>
      <c r="DY17" s="29">
        <f t="shared" si="4"/>
        <v>-4312.4700000000757</v>
      </c>
      <c r="DZ17" s="5"/>
      <c r="EA17" s="29">
        <f t="shared" si="27"/>
        <v>45927.576600000204</v>
      </c>
      <c r="EB17" s="5"/>
      <c r="EC17" s="29">
        <f t="shared" si="27"/>
        <v>81745.5799999999</v>
      </c>
      <c r="ED17" s="5"/>
      <c r="EE17" s="29">
        <f t="shared" si="27"/>
        <v>202855.2613999999</v>
      </c>
      <c r="EF17" s="5"/>
      <c r="EG17" s="29">
        <f t="shared" si="28"/>
        <v>0</v>
      </c>
      <c r="EH17" s="5"/>
      <c r="EI17" s="29">
        <f t="shared" si="25"/>
        <v>159387.81000000006</v>
      </c>
      <c r="EJ17" s="5"/>
      <c r="EK17" s="29">
        <f t="shared" si="25"/>
        <v>0</v>
      </c>
      <c r="EL17" s="5"/>
      <c r="EM17" s="29">
        <f t="shared" si="25"/>
        <v>0</v>
      </c>
      <c r="EN17" s="5"/>
      <c r="EO17" s="29">
        <f t="shared" si="26"/>
        <v>0</v>
      </c>
      <c r="EP17" s="5"/>
      <c r="EQ17" s="29">
        <f t="shared" si="5"/>
        <v>-56922.84000000004</v>
      </c>
      <c r="ER17" s="5"/>
      <c r="ES17" s="29">
        <f t="shared" si="6"/>
        <v>53301.649999999965</v>
      </c>
      <c r="ET17" s="5"/>
      <c r="EU17" s="29">
        <f t="shared" si="7"/>
        <v>0</v>
      </c>
      <c r="EV17" s="5"/>
      <c r="EW17" s="29">
        <f t="shared" si="8"/>
        <v>0</v>
      </c>
      <c r="EX17" s="5"/>
      <c r="EY17" s="29">
        <f t="shared" si="9"/>
        <v>24833.04000000003</v>
      </c>
      <c r="EZ17" s="5"/>
      <c r="FA17" s="29">
        <f t="shared" si="9"/>
        <v>0</v>
      </c>
      <c r="FB17" s="5"/>
      <c r="FC17" s="29">
        <f t="shared" si="9"/>
        <v>0</v>
      </c>
      <c r="FD17" s="5"/>
      <c r="FE17" s="29">
        <f t="shared" si="10"/>
        <v>11937.400000000023</v>
      </c>
      <c r="FF17" s="5"/>
      <c r="FG17" s="29">
        <v>140419.91999999998</v>
      </c>
      <c r="FH17" s="5"/>
      <c r="FI17" s="29">
        <f t="shared" si="11"/>
        <v>0</v>
      </c>
      <c r="FJ17" s="5"/>
      <c r="FK17" s="29">
        <f t="shared" si="11"/>
        <v>0</v>
      </c>
      <c r="FL17" s="5"/>
      <c r="FM17" s="29">
        <f t="shared" si="12"/>
        <v>0</v>
      </c>
      <c r="FN17" s="5"/>
      <c r="FO17" s="29">
        <f t="shared" si="13"/>
        <v>0</v>
      </c>
      <c r="FP17" s="5"/>
      <c r="FQ17" s="29">
        <f t="shared" si="14"/>
        <v>0</v>
      </c>
      <c r="FR17" s="5"/>
      <c r="FS17" s="29">
        <f t="shared" si="15"/>
        <v>-7722</v>
      </c>
      <c r="FT17" s="5"/>
      <c r="FU17" s="29">
        <f t="shared" si="16"/>
        <v>65808.31</v>
      </c>
      <c r="FV17" s="5"/>
      <c r="FW17" s="29">
        <f t="shared" si="16"/>
        <v>0</v>
      </c>
      <c r="FX17" s="5"/>
      <c r="FY17" s="29">
        <f t="shared" si="16"/>
        <v>0</v>
      </c>
      <c r="FZ17" s="5"/>
      <c r="GA17" s="29">
        <f t="shared" si="17"/>
        <v>0</v>
      </c>
      <c r="GB17" s="5"/>
      <c r="GC17" s="29">
        <f t="shared" si="18"/>
        <v>93519.840000000011</v>
      </c>
      <c r="GD17" s="5"/>
      <c r="GE17" s="29">
        <f t="shared" si="18"/>
        <v>0</v>
      </c>
      <c r="GF17" s="5"/>
      <c r="GG17" s="29">
        <f t="shared" si="18"/>
        <v>-7378.9399999999623</v>
      </c>
      <c r="GH17" s="5"/>
      <c r="GI17" s="29">
        <f t="shared" si="19"/>
        <v>7378.9400000000023</v>
      </c>
      <c r="GJ17" s="5"/>
      <c r="GK17" s="29">
        <f t="shared" si="20"/>
        <v>129822.67</v>
      </c>
      <c r="GL17" s="5"/>
      <c r="GM17" s="29">
        <f t="shared" si="20"/>
        <v>0</v>
      </c>
      <c r="GN17" s="5"/>
      <c r="GO17" s="29">
        <f t="shared" si="21"/>
        <v>0</v>
      </c>
      <c r="GP17" s="5"/>
      <c r="GQ17" s="29">
        <f t="shared" si="22"/>
        <v>0</v>
      </c>
      <c r="GR17" s="5"/>
      <c r="GS17" s="29">
        <f t="shared" si="23"/>
        <v>42260.38999999997</v>
      </c>
      <c r="GT17" s="5"/>
      <c r="GU17" s="29">
        <f t="shared" si="23"/>
        <v>0</v>
      </c>
    </row>
    <row r="18" spans="1:203">
      <c r="A18" s="96" t="s">
        <v>100</v>
      </c>
      <c r="C18" s="29"/>
      <c r="E18" s="29"/>
      <c r="G18" s="29"/>
      <c r="I18" s="29">
        <v>7892324.7036889661</v>
      </c>
      <c r="K18" s="29">
        <v>20582822.739999998</v>
      </c>
      <c r="M18" s="29">
        <v>29078029.041570339</v>
      </c>
      <c r="O18" s="29">
        <v>23864762.759999998</v>
      </c>
      <c r="Q18" s="29">
        <v>10392049.048763333</v>
      </c>
      <c r="S18" s="29">
        <v>8438055.0700000003</v>
      </c>
      <c r="U18" s="29">
        <v>4124807.5867669466</v>
      </c>
      <c r="W18" s="29">
        <v>-1469417.8886579019</v>
      </c>
      <c r="Y18" s="29">
        <v>10691750.419989999</v>
      </c>
      <c r="AA18" s="29">
        <v>378960.9055638006</v>
      </c>
      <c r="AC18" s="29">
        <v>-242667.33991791762</v>
      </c>
      <c r="AE18" s="29">
        <v>140256.96525311749</v>
      </c>
      <c r="AG18" s="29">
        <v>-102054.09949996909</v>
      </c>
      <c r="AI18" s="29">
        <v>-1488994.0879999972</v>
      </c>
      <c r="AK18" s="29">
        <v>-241995.70850000039</v>
      </c>
      <c r="AM18" s="29">
        <v>-296460.3689999989</v>
      </c>
      <c r="AO18" s="29">
        <v>-248935.16950000133</v>
      </c>
      <c r="AQ18" s="29">
        <v>236171.88199999835</v>
      </c>
      <c r="AS18" s="29">
        <v>407260.32150000287</v>
      </c>
      <c r="AU18" s="29">
        <v>475795.10100000084</v>
      </c>
      <c r="AW18" s="29">
        <v>707962.51049999753</v>
      </c>
      <c r="AY18" s="29">
        <v>-400152.11260708235</v>
      </c>
      <c r="BA18" s="29">
        <v>2845695.6468929192</v>
      </c>
      <c r="BC18" s="29">
        <v>3722895.4609999983</v>
      </c>
      <c r="BE18" s="29">
        <v>2212124.242385</v>
      </c>
      <c r="BG18" s="29">
        <v>-10534512.594059587</v>
      </c>
      <c r="BI18" s="29">
        <v>-2631341.3591666678</v>
      </c>
      <c r="BK18" s="29">
        <v>-2226351.8296666676</v>
      </c>
      <c r="BM18" s="29">
        <v>-1770370.9100000001</v>
      </c>
      <c r="BO18" s="29">
        <v>-1471225.6800000016</v>
      </c>
      <c r="BQ18" s="29">
        <v>-1107450.8799999999</v>
      </c>
      <c r="BS18" s="29">
        <v>-561653.23000000161</v>
      </c>
      <c r="BU18" s="29">
        <v>-2786434.6999999997</v>
      </c>
      <c r="BW18" s="29">
        <v>-1786677.8600000003</v>
      </c>
      <c r="BY18" s="29">
        <v>-1445071.3099999996</v>
      </c>
      <c r="CA18" s="29">
        <v>887991.06999999937</v>
      </c>
      <c r="CC18" s="29">
        <v>366053.54</v>
      </c>
      <c r="CE18" s="29">
        <v>323964.12999999983</v>
      </c>
      <c r="CG18" s="29">
        <v>-64997.340000000295</v>
      </c>
      <c r="CI18" s="29">
        <v>-82301.530000000261</v>
      </c>
      <c r="CK18" s="29">
        <v>-29437.629999999888</v>
      </c>
      <c r="CM18" s="29">
        <v>-541232.42000000039</v>
      </c>
      <c r="CO18" s="29">
        <v>-420428.7200000002</v>
      </c>
      <c r="CQ18" s="29">
        <v>-460829.33000000007</v>
      </c>
      <c r="CS18" s="29">
        <v>-135329.60000000056</v>
      </c>
      <c r="CU18" s="29">
        <v>807374.48999999976</v>
      </c>
      <c r="CW18" s="29">
        <v>1897416.3399999994</v>
      </c>
      <c r="CY18" s="29">
        <v>-175386.0399999996</v>
      </c>
      <c r="DA18" s="29">
        <v>-246794.2</v>
      </c>
      <c r="DC18" s="29"/>
      <c r="DD18" s="5"/>
      <c r="DE18" s="29"/>
      <c r="DF18" s="5"/>
      <c r="DG18" s="29"/>
      <c r="DH18" s="5"/>
      <c r="DI18" s="29">
        <f t="shared" si="1"/>
        <v>7892324.7036889661</v>
      </c>
      <c r="DJ18" s="5"/>
      <c r="DK18" s="29">
        <f t="shared" si="24"/>
        <v>-8495206.301570341</v>
      </c>
      <c r="DL18" s="5"/>
      <c r="DM18" s="29">
        <f t="shared" si="24"/>
        <v>5213266.2815703414</v>
      </c>
      <c r="DN18" s="5"/>
      <c r="DO18" s="29">
        <f t="shared" si="24"/>
        <v>13472713.711236665</v>
      </c>
      <c r="DP18" s="5"/>
      <c r="DQ18" s="29">
        <f t="shared" si="2"/>
        <v>10392049.048763333</v>
      </c>
      <c r="DR18" s="5"/>
      <c r="DS18" s="29">
        <f t="shared" si="3"/>
        <v>4313247.4832330532</v>
      </c>
      <c r="DT18" s="5"/>
      <c r="DU18" s="29">
        <f t="shared" si="3"/>
        <v>5594225.4754248485</v>
      </c>
      <c r="DV18" s="5"/>
      <c r="DW18" s="29">
        <f t="shared" si="3"/>
        <v>-12161168.308647901</v>
      </c>
      <c r="DX18" s="5"/>
      <c r="DY18" s="29">
        <f t="shared" si="4"/>
        <v>10691750.419989999</v>
      </c>
      <c r="DZ18" s="5"/>
      <c r="EA18" s="29">
        <f t="shared" si="27"/>
        <v>621628.24548171822</v>
      </c>
      <c r="EB18" s="5"/>
      <c r="EC18" s="29">
        <f t="shared" si="27"/>
        <v>-382924.30517103511</v>
      </c>
      <c r="ED18" s="5"/>
      <c r="EE18" s="29">
        <f t="shared" si="27"/>
        <v>242311.0647530866</v>
      </c>
      <c r="EF18" s="5"/>
      <c r="EG18" s="29">
        <f t="shared" si="28"/>
        <v>-102054.09949996909</v>
      </c>
      <c r="EH18" s="5"/>
      <c r="EI18" s="29">
        <f t="shared" si="25"/>
        <v>-1246998.3794999968</v>
      </c>
      <c r="EJ18" s="5"/>
      <c r="EK18" s="29">
        <f t="shared" si="25"/>
        <v>54464.660499998514</v>
      </c>
      <c r="EL18" s="5"/>
      <c r="EM18" s="29">
        <f t="shared" si="25"/>
        <v>-47525.199499997572</v>
      </c>
      <c r="EN18" s="5"/>
      <c r="EO18" s="29">
        <f t="shared" si="26"/>
        <v>-248935.16950000133</v>
      </c>
      <c r="EP18" s="5"/>
      <c r="EQ18" s="29">
        <f t="shared" si="5"/>
        <v>-171088.43950000452</v>
      </c>
      <c r="ER18" s="5"/>
      <c r="ES18" s="29">
        <f t="shared" si="6"/>
        <v>-68534.779499997967</v>
      </c>
      <c r="ET18" s="5"/>
      <c r="EU18" s="29">
        <f t="shared" si="7"/>
        <v>-232167.40949999669</v>
      </c>
      <c r="EV18" s="5"/>
      <c r="EW18" s="29">
        <f t="shared" si="8"/>
        <v>707962.51049999753</v>
      </c>
      <c r="EX18" s="5"/>
      <c r="EY18" s="29">
        <f t="shared" si="9"/>
        <v>-3245847.7595000016</v>
      </c>
      <c r="EZ18" s="5"/>
      <c r="FA18" s="29">
        <f t="shared" si="9"/>
        <v>-877199.81410707906</v>
      </c>
      <c r="FB18" s="5"/>
      <c r="FC18" s="29">
        <f t="shared" si="9"/>
        <v>1510771.2186149983</v>
      </c>
      <c r="FD18" s="5"/>
      <c r="FE18" s="29">
        <f t="shared" si="10"/>
        <v>2212124.242385</v>
      </c>
      <c r="FF18" s="5"/>
      <c r="FG18" s="29">
        <v>-865576.11489291943</v>
      </c>
      <c r="FH18" s="5"/>
      <c r="FI18" s="29">
        <f t="shared" si="11"/>
        <v>-404989.52950000018</v>
      </c>
      <c r="FJ18" s="5"/>
      <c r="FK18" s="29">
        <f t="shared" si="11"/>
        <v>-455980.91966666747</v>
      </c>
      <c r="FL18" s="5"/>
      <c r="FM18" s="29">
        <f t="shared" si="12"/>
        <v>-299145.22999999858</v>
      </c>
      <c r="FN18" s="5"/>
      <c r="FO18" s="29">
        <f t="shared" si="13"/>
        <v>-363774.80000000168</v>
      </c>
      <c r="FP18" s="5"/>
      <c r="FQ18" s="29">
        <f t="shared" si="14"/>
        <v>-545797.64999999828</v>
      </c>
      <c r="FR18" s="5"/>
      <c r="FS18" s="29">
        <f t="shared" si="15"/>
        <v>-561653.23000000161</v>
      </c>
      <c r="FT18" s="5"/>
      <c r="FU18" s="29">
        <f t="shared" si="16"/>
        <v>-999756.83999999939</v>
      </c>
      <c r="FV18" s="5"/>
      <c r="FW18" s="29">
        <f t="shared" si="16"/>
        <v>-341606.55000000075</v>
      </c>
      <c r="FX18" s="5"/>
      <c r="FY18" s="29">
        <f t="shared" si="16"/>
        <v>-2333062.379999999</v>
      </c>
      <c r="FZ18" s="5"/>
      <c r="GA18" s="29">
        <f t="shared" si="17"/>
        <v>887991.06999999937</v>
      </c>
      <c r="GB18" s="5"/>
      <c r="GC18" s="29">
        <f t="shared" si="18"/>
        <v>42089.410000000149</v>
      </c>
      <c r="GD18" s="5"/>
      <c r="GE18" s="29">
        <f t="shared" si="18"/>
        <v>388961.47000000015</v>
      </c>
      <c r="GF18" s="5"/>
      <c r="GG18" s="29">
        <f t="shared" si="18"/>
        <v>17304.189999999966</v>
      </c>
      <c r="GH18" s="5"/>
      <c r="GI18" s="29">
        <f t="shared" si="19"/>
        <v>-82301.530000000261</v>
      </c>
      <c r="GJ18" s="5"/>
      <c r="GK18" s="29">
        <f t="shared" si="20"/>
        <v>511794.7900000005</v>
      </c>
      <c r="GL18" s="5"/>
      <c r="GM18" s="29">
        <f t="shared" si="20"/>
        <v>-120803.70000000019</v>
      </c>
      <c r="GN18" s="5"/>
      <c r="GO18" s="29">
        <f t="shared" si="21"/>
        <v>40400.60999999987</v>
      </c>
      <c r="GP18" s="5"/>
      <c r="GQ18" s="29">
        <f t="shared" si="22"/>
        <v>-460829.33000000007</v>
      </c>
      <c r="GR18" s="5"/>
      <c r="GS18" s="29">
        <f t="shared" si="23"/>
        <v>-942704.09000000032</v>
      </c>
      <c r="GT18" s="5"/>
      <c r="GU18" s="29">
        <f t="shared" si="23"/>
        <v>-1090041.8499999996</v>
      </c>
    </row>
    <row r="19" spans="1:203">
      <c r="A19" s="152" t="s">
        <v>71</v>
      </c>
      <c r="C19" s="29"/>
      <c r="E19" s="29"/>
      <c r="G19" s="29"/>
      <c r="I19" s="29">
        <v>-13249252.326163383</v>
      </c>
      <c r="K19" s="29">
        <v>-33210213.690000001</v>
      </c>
      <c r="M19" s="29">
        <v>-30190006.695112508</v>
      </c>
      <c r="O19" s="29">
        <v>-24827180.020000007</v>
      </c>
      <c r="Q19" s="29">
        <v>-6161633.9399713362</v>
      </c>
      <c r="S19" s="29">
        <v>-11583569.99</v>
      </c>
      <c r="U19" s="29">
        <v>-7172084.441870179</v>
      </c>
      <c r="W19" s="29">
        <v>-2199457.0571672395</v>
      </c>
      <c r="Y19" s="29">
        <v>1570187.5099999998</v>
      </c>
      <c r="AA19" s="29">
        <v>-2207085.9225104018</v>
      </c>
      <c r="AC19" s="29">
        <v>-2044798.1238532304</v>
      </c>
      <c r="AE19" s="29">
        <v>-1149544.8529923887</v>
      </c>
      <c r="AG19" s="29">
        <v>-1059724.2248483202</v>
      </c>
      <c r="AI19" s="29">
        <v>-2325354.0037914822</v>
      </c>
      <c r="AK19" s="29">
        <v>-2283137.9781202157</v>
      </c>
      <c r="AM19" s="29">
        <v>-2283141.0037915003</v>
      </c>
      <c r="AO19" s="29">
        <v>-1072732.9937915164</v>
      </c>
      <c r="AQ19" s="29">
        <v>-1818644.0032449702</v>
      </c>
      <c r="AS19" s="29">
        <v>-1794059.0032449563</v>
      </c>
      <c r="AU19" s="29">
        <v>-1211444.0032449726</v>
      </c>
      <c r="AW19" s="29">
        <v>-548944.31226320704</v>
      </c>
      <c r="AY19" s="29">
        <v>-2259861.8185777864</v>
      </c>
      <c r="BA19" s="29">
        <v>-2255636.8085777676</v>
      </c>
      <c r="BC19" s="29">
        <v>-2635231.8085777713</v>
      </c>
      <c r="BE19" s="29">
        <v>-1185306.8080779165</v>
      </c>
      <c r="BG19" s="29">
        <v>-771805.99292207463</v>
      </c>
      <c r="BI19" s="29">
        <v>-771806.00029999064</v>
      </c>
      <c r="BK19" s="29">
        <v>-769412.99177500024</v>
      </c>
      <c r="BM19" s="29">
        <v>-613744.00373958331</v>
      </c>
      <c r="BO19" s="29">
        <v>-450494.00185583322</v>
      </c>
      <c r="BQ19" s="29">
        <v>-214436.99920000025</v>
      </c>
      <c r="BS19" s="29">
        <v>-167069.00000000009</v>
      </c>
      <c r="BU19" s="29">
        <v>-1427452</v>
      </c>
      <c r="BW19" s="29">
        <v>-1225925</v>
      </c>
      <c r="BY19" s="29">
        <v>-1050199</v>
      </c>
      <c r="CA19" s="29">
        <v>-842356</v>
      </c>
      <c r="CC19" s="29">
        <v>-588075.15999999992</v>
      </c>
      <c r="CE19" s="29">
        <v>-393208.16000000003</v>
      </c>
      <c r="CG19" s="29">
        <v>574024.84</v>
      </c>
      <c r="CI19" s="29">
        <v>-182613.00000000006</v>
      </c>
      <c r="CK19" s="29">
        <v>-624662.38420052314</v>
      </c>
      <c r="CM19" s="29">
        <v>-1051861.9936908372</v>
      </c>
      <c r="CO19" s="29">
        <v>-1030817.9959908365</v>
      </c>
      <c r="CQ19" s="29">
        <v>-934055.9897712894</v>
      </c>
      <c r="CS19" s="29">
        <v>-814060</v>
      </c>
      <c r="CU19" s="29">
        <v>-400758.92947599449</v>
      </c>
      <c r="CW19" s="29">
        <v>-76693.991275994384</v>
      </c>
      <c r="CY19" s="29">
        <v>-253071.99799999991</v>
      </c>
      <c r="DA19" s="29">
        <v>-432248.9981000002</v>
      </c>
      <c r="DC19" s="29"/>
      <c r="DD19" s="5"/>
      <c r="DE19" s="29"/>
      <c r="DF19" s="5"/>
      <c r="DG19" s="29"/>
      <c r="DH19" s="5"/>
      <c r="DI19" s="29">
        <f t="shared" si="1"/>
        <v>-13249252.326163383</v>
      </c>
      <c r="DJ19" s="5"/>
      <c r="DK19" s="29">
        <f t="shared" si="24"/>
        <v>-3020206.9948874936</v>
      </c>
      <c r="DL19" s="5"/>
      <c r="DM19" s="29">
        <f t="shared" si="24"/>
        <v>-5362826.6751125008</v>
      </c>
      <c r="DN19" s="5"/>
      <c r="DO19" s="29">
        <f t="shared" si="24"/>
        <v>-18665546.080028672</v>
      </c>
      <c r="DP19" s="5"/>
      <c r="DQ19" s="29">
        <f t="shared" si="2"/>
        <v>-6161633.9399713362</v>
      </c>
      <c r="DR19" s="5"/>
      <c r="DS19" s="29">
        <f t="shared" si="3"/>
        <v>-4411485.5481298212</v>
      </c>
      <c r="DT19" s="5"/>
      <c r="DU19" s="29">
        <f t="shared" si="3"/>
        <v>-4972627.3847029395</v>
      </c>
      <c r="DV19" s="5"/>
      <c r="DW19" s="29">
        <f t="shared" si="3"/>
        <v>-3769644.5671672393</v>
      </c>
      <c r="DX19" s="5"/>
      <c r="DY19" s="29">
        <f t="shared" si="4"/>
        <v>1570187.5099999998</v>
      </c>
      <c r="DZ19" s="5"/>
      <c r="EA19" s="29">
        <f t="shared" si="27"/>
        <v>-162287.79865717143</v>
      </c>
      <c r="EB19" s="5"/>
      <c r="EC19" s="29">
        <f t="shared" si="27"/>
        <v>-895253.27086084173</v>
      </c>
      <c r="ED19" s="5"/>
      <c r="EE19" s="29">
        <f t="shared" si="27"/>
        <v>-89820.628144068411</v>
      </c>
      <c r="EF19" s="5"/>
      <c r="EG19" s="29">
        <f t="shared" si="28"/>
        <v>-1059724.2248483202</v>
      </c>
      <c r="EH19" s="5"/>
      <c r="EI19" s="29">
        <f t="shared" si="25"/>
        <v>-42216.025671266485</v>
      </c>
      <c r="EJ19" s="5"/>
      <c r="EK19" s="29">
        <f t="shared" si="25"/>
        <v>3.0256712846457958</v>
      </c>
      <c r="EL19" s="5"/>
      <c r="EM19" s="29">
        <f t="shared" si="25"/>
        <v>-1210408.0099999839</v>
      </c>
      <c r="EN19" s="5"/>
      <c r="EO19" s="29">
        <f t="shared" si="26"/>
        <v>-1072732.9937915164</v>
      </c>
      <c r="EP19" s="5"/>
      <c r="EQ19" s="29">
        <f t="shared" si="5"/>
        <v>-24585.00000001397</v>
      </c>
      <c r="ER19" s="5"/>
      <c r="ES19" s="29">
        <f t="shared" si="6"/>
        <v>-582614.9999999837</v>
      </c>
      <c r="ET19" s="5"/>
      <c r="EU19" s="29">
        <f t="shared" si="7"/>
        <v>-662499.69098176551</v>
      </c>
      <c r="EV19" s="5"/>
      <c r="EW19" s="29">
        <f t="shared" si="8"/>
        <v>-548944.31226320704</v>
      </c>
      <c r="EX19" s="5"/>
      <c r="EY19" s="29">
        <f t="shared" si="9"/>
        <v>-4225.0100000188686</v>
      </c>
      <c r="EZ19" s="5"/>
      <c r="FA19" s="29">
        <f t="shared" si="9"/>
        <v>379595.00000000373</v>
      </c>
      <c r="FB19" s="5"/>
      <c r="FC19" s="29">
        <f t="shared" si="9"/>
        <v>-1449925.0004998548</v>
      </c>
      <c r="FD19" s="5"/>
      <c r="FE19" s="29">
        <f t="shared" si="10"/>
        <v>-1185306.8080779165</v>
      </c>
      <c r="FF19" s="5"/>
      <c r="FG19" s="29">
        <v>7.3779159492914914E-3</v>
      </c>
      <c r="FH19" s="5"/>
      <c r="FI19" s="29">
        <f t="shared" si="11"/>
        <v>-2393.0085249904078</v>
      </c>
      <c r="FJ19" s="5"/>
      <c r="FK19" s="29">
        <f t="shared" si="11"/>
        <v>-155668.98803541693</v>
      </c>
      <c r="FL19" s="5"/>
      <c r="FM19" s="29">
        <f t="shared" si="12"/>
        <v>-163250.00188375008</v>
      </c>
      <c r="FN19" s="5"/>
      <c r="FO19" s="29">
        <f t="shared" si="13"/>
        <v>-236057.00265583297</v>
      </c>
      <c r="FP19" s="5"/>
      <c r="FQ19" s="29">
        <f t="shared" si="14"/>
        <v>-47367.999200000166</v>
      </c>
      <c r="FR19" s="5"/>
      <c r="FS19" s="29">
        <f t="shared" si="15"/>
        <v>-167069.00000000009</v>
      </c>
      <c r="FT19" s="5"/>
      <c r="FU19" s="29">
        <f t="shared" si="16"/>
        <v>-201527</v>
      </c>
      <c r="FV19" s="5"/>
      <c r="FW19" s="29">
        <f t="shared" si="16"/>
        <v>-175726</v>
      </c>
      <c r="FX19" s="5"/>
      <c r="FY19" s="29">
        <f t="shared" si="16"/>
        <v>-207843</v>
      </c>
      <c r="FZ19" s="5"/>
      <c r="GA19" s="29">
        <f t="shared" si="17"/>
        <v>-842356</v>
      </c>
      <c r="GB19" s="5"/>
      <c r="GC19" s="29">
        <f t="shared" si="18"/>
        <v>-194866.99999999988</v>
      </c>
      <c r="GD19" s="5"/>
      <c r="GE19" s="29">
        <f t="shared" si="18"/>
        <v>-967233</v>
      </c>
      <c r="GF19" s="5"/>
      <c r="GG19" s="29">
        <f t="shared" si="18"/>
        <v>756637.84000000008</v>
      </c>
      <c r="GH19" s="5"/>
      <c r="GI19" s="29">
        <f t="shared" si="19"/>
        <v>-182613.00000000006</v>
      </c>
      <c r="GJ19" s="5"/>
      <c r="GK19" s="29">
        <f t="shared" si="20"/>
        <v>427199.60949031403</v>
      </c>
      <c r="GL19" s="5"/>
      <c r="GM19" s="29">
        <f t="shared" si="20"/>
        <v>-21043.997700000647</v>
      </c>
      <c r="GN19" s="5"/>
      <c r="GO19" s="29">
        <f t="shared" si="21"/>
        <v>-96762.006219547126</v>
      </c>
      <c r="GP19" s="5"/>
      <c r="GQ19" s="29">
        <f t="shared" si="22"/>
        <v>-934055.9897712894</v>
      </c>
      <c r="GR19" s="5"/>
      <c r="GS19" s="29">
        <f t="shared" si="23"/>
        <v>-413301.07052400551</v>
      </c>
      <c r="GT19" s="5"/>
      <c r="GU19" s="29">
        <f t="shared" si="23"/>
        <v>-324064.93820000009</v>
      </c>
    </row>
    <row r="20" spans="1:203">
      <c r="A20" s="152" t="s">
        <v>266</v>
      </c>
      <c r="C20" s="29"/>
      <c r="E20" s="29"/>
      <c r="G20" s="29"/>
      <c r="I20" s="29">
        <v>0</v>
      </c>
      <c r="K20" s="29">
        <v>936695.03</v>
      </c>
      <c r="M20" s="29">
        <v>936695.03</v>
      </c>
      <c r="O20" s="29">
        <v>579122.53</v>
      </c>
      <c r="Q20" s="29">
        <v>0</v>
      </c>
      <c r="S20" s="29">
        <v>843823.41</v>
      </c>
      <c r="U20" s="29">
        <v>651384.28</v>
      </c>
      <c r="W20" s="29">
        <v>546646.84</v>
      </c>
      <c r="Y20" s="29">
        <v>221250</v>
      </c>
      <c r="AA20" s="29">
        <v>604797.57999999996</v>
      </c>
      <c r="AC20" s="29">
        <v>623410.5</v>
      </c>
      <c r="AE20" s="29">
        <v>0</v>
      </c>
      <c r="AG20" s="29">
        <v>157563.59</v>
      </c>
      <c r="AI20" s="29">
        <v>569194.29</v>
      </c>
      <c r="AK20" s="29">
        <v>480638.21</v>
      </c>
      <c r="AM20" s="29">
        <v>480638.21</v>
      </c>
      <c r="AO20" s="29">
        <v>152678.07</v>
      </c>
      <c r="AQ20" s="29">
        <v>539188.04</v>
      </c>
      <c r="AS20" s="29">
        <v>539188.04</v>
      </c>
      <c r="AU20" s="29">
        <v>266228.53999999998</v>
      </c>
      <c r="AW20" s="29">
        <v>62400</v>
      </c>
      <c r="AY20" s="29">
        <v>4381649.4000000004</v>
      </c>
      <c r="BA20" s="29">
        <v>400418.1</v>
      </c>
      <c r="BC20" s="29">
        <v>115300.1</v>
      </c>
      <c r="BE20" s="29">
        <v>197300</v>
      </c>
      <c r="BG20" s="29">
        <v>6952546.8600000003</v>
      </c>
      <c r="BI20" s="29"/>
      <c r="BK20" s="29"/>
      <c r="BM20" s="29"/>
      <c r="BO20" s="29"/>
      <c r="BQ20" s="29"/>
      <c r="BS20" s="29"/>
      <c r="BU20" s="29"/>
      <c r="BW20" s="29"/>
      <c r="BY20" s="29"/>
      <c r="CA20" s="29"/>
      <c r="CC20" s="29"/>
      <c r="CE20" s="29"/>
      <c r="CG20" s="29"/>
      <c r="CI20" s="29"/>
      <c r="CK20" s="29"/>
      <c r="CM20" s="29"/>
      <c r="CO20" s="29"/>
      <c r="CQ20" s="29"/>
      <c r="CS20" s="29"/>
      <c r="CU20" s="29"/>
      <c r="CW20" s="29"/>
      <c r="CY20" s="29"/>
      <c r="DA20" s="29"/>
      <c r="DC20" s="29"/>
      <c r="DD20" s="5"/>
      <c r="DE20" s="29"/>
      <c r="DF20" s="5"/>
      <c r="DG20" s="29"/>
      <c r="DH20" s="5"/>
      <c r="DI20" s="29">
        <f t="shared" si="1"/>
        <v>0</v>
      </c>
      <c r="DJ20" s="5"/>
      <c r="DK20" s="29">
        <f t="shared" si="24"/>
        <v>0</v>
      </c>
      <c r="DL20" s="5"/>
      <c r="DM20" s="29">
        <f t="shared" si="24"/>
        <v>357572.5</v>
      </c>
      <c r="DN20" s="5"/>
      <c r="DO20" s="29">
        <f t="shared" si="24"/>
        <v>579122.53</v>
      </c>
      <c r="DP20" s="5"/>
      <c r="DQ20" s="29">
        <f t="shared" si="2"/>
        <v>0</v>
      </c>
      <c r="DR20" s="5"/>
      <c r="DS20" s="29">
        <f t="shared" si="3"/>
        <v>192439.13</v>
      </c>
      <c r="DT20" s="5"/>
      <c r="DU20" s="29">
        <f t="shared" si="3"/>
        <v>104737.44000000006</v>
      </c>
      <c r="DV20" s="5"/>
      <c r="DW20" s="29">
        <f t="shared" si="3"/>
        <v>325396.83999999997</v>
      </c>
      <c r="DX20" s="5"/>
      <c r="DY20" s="29">
        <f t="shared" si="4"/>
        <v>221250</v>
      </c>
      <c r="DZ20" s="5"/>
      <c r="EA20" s="29">
        <f t="shared" si="27"/>
        <v>-18612.920000000042</v>
      </c>
      <c r="EB20" s="5"/>
      <c r="EC20" s="29">
        <f t="shared" si="27"/>
        <v>623410.5</v>
      </c>
      <c r="ED20" s="5"/>
      <c r="EE20" s="29">
        <f t="shared" si="27"/>
        <v>-157563.59</v>
      </c>
      <c r="EF20" s="5"/>
      <c r="EG20" s="29">
        <f t="shared" si="28"/>
        <v>157563.59</v>
      </c>
      <c r="EH20" s="5"/>
      <c r="EI20" s="29">
        <f t="shared" si="25"/>
        <v>88556.080000000016</v>
      </c>
      <c r="EJ20" s="5"/>
      <c r="EK20" s="29">
        <f t="shared" si="25"/>
        <v>0</v>
      </c>
      <c r="EL20" s="5"/>
      <c r="EM20" s="29">
        <f t="shared" si="25"/>
        <v>327960.14</v>
      </c>
      <c r="EN20" s="5"/>
      <c r="EO20" s="29">
        <f t="shared" si="26"/>
        <v>152678.07</v>
      </c>
      <c r="EP20" s="5"/>
      <c r="EQ20" s="29">
        <f t="shared" si="5"/>
        <v>0</v>
      </c>
      <c r="ER20" s="5"/>
      <c r="ES20" s="29">
        <f t="shared" si="6"/>
        <v>272959.50000000006</v>
      </c>
      <c r="ET20" s="5"/>
      <c r="EU20" s="29">
        <f t="shared" si="7"/>
        <v>203828.53999999998</v>
      </c>
      <c r="EV20" s="5"/>
      <c r="EW20" s="29">
        <f t="shared" si="8"/>
        <v>62400</v>
      </c>
      <c r="EX20" s="5"/>
      <c r="EY20" s="29">
        <f t="shared" si="9"/>
        <v>3981231.3000000003</v>
      </c>
      <c r="EZ20" s="5"/>
      <c r="FA20" s="29">
        <f t="shared" si="9"/>
        <v>285118</v>
      </c>
      <c r="FB20" s="5"/>
      <c r="FC20" s="29">
        <f t="shared" si="9"/>
        <v>-81999.899999999994</v>
      </c>
      <c r="FD20" s="5"/>
      <c r="FE20" s="29"/>
      <c r="FF20" s="5"/>
      <c r="FG20" s="29">
        <v>93851.63</v>
      </c>
      <c r="FH20" s="5"/>
      <c r="FI20" s="29"/>
      <c r="FJ20" s="5"/>
      <c r="FK20" s="29"/>
      <c r="FL20" s="5"/>
      <c r="FM20" s="29"/>
      <c r="FN20" s="5"/>
      <c r="FO20" s="29"/>
      <c r="FP20" s="5"/>
      <c r="FQ20" s="29"/>
      <c r="FR20" s="5"/>
      <c r="FS20" s="29"/>
      <c r="FT20" s="5"/>
      <c r="FU20" s="29"/>
      <c r="FV20" s="5"/>
      <c r="FW20" s="29"/>
      <c r="FX20" s="5"/>
      <c r="FY20" s="29"/>
      <c r="FZ20" s="5"/>
      <c r="GA20" s="29"/>
      <c r="GB20" s="5"/>
      <c r="GC20" s="29"/>
      <c r="GD20" s="5"/>
      <c r="GE20" s="29"/>
      <c r="GF20" s="5"/>
      <c r="GG20" s="29"/>
      <c r="GH20" s="5"/>
      <c r="GI20" s="29"/>
      <c r="GJ20" s="5"/>
      <c r="GK20" s="29"/>
      <c r="GL20" s="5"/>
      <c r="GM20" s="29"/>
      <c r="GN20" s="5"/>
      <c r="GO20" s="29"/>
      <c r="GP20" s="5"/>
      <c r="GQ20" s="29"/>
      <c r="GR20" s="5"/>
      <c r="GS20" s="29"/>
      <c r="GT20" s="5"/>
      <c r="GU20" s="29"/>
    </row>
    <row r="21" spans="1:203">
      <c r="A21" s="152" t="s">
        <v>252</v>
      </c>
      <c r="C21" s="29"/>
      <c r="E21" s="29"/>
      <c r="G21" s="29"/>
      <c r="I21" s="29">
        <v>0</v>
      </c>
      <c r="K21" s="29">
        <v>0</v>
      </c>
      <c r="M21" s="29">
        <v>0</v>
      </c>
      <c r="O21" s="29">
        <v>0</v>
      </c>
      <c r="Q21" s="29">
        <v>0</v>
      </c>
      <c r="S21" s="29">
        <v>0</v>
      </c>
      <c r="U21" s="29">
        <v>0</v>
      </c>
      <c r="W21" s="29">
        <v>0</v>
      </c>
      <c r="Y21" s="29">
        <v>0</v>
      </c>
      <c r="AA21" s="29">
        <v>-5874205.71</v>
      </c>
      <c r="AC21" s="29">
        <v>-5874205.71</v>
      </c>
      <c r="AE21" s="29">
        <v>-5874205.7084021242</v>
      </c>
      <c r="AG21" s="29"/>
      <c r="AI21" s="29"/>
      <c r="AK21" s="29"/>
      <c r="AM21" s="29"/>
      <c r="AO21" s="29"/>
      <c r="AQ21" s="29"/>
      <c r="AS21" s="29"/>
      <c r="AU21" s="29"/>
      <c r="AW21" s="29"/>
      <c r="AY21" s="29"/>
      <c r="BA21" s="29"/>
      <c r="BC21" s="29"/>
      <c r="BE21" s="29"/>
      <c r="BG21" s="29"/>
      <c r="BI21" s="29"/>
      <c r="BK21" s="29"/>
      <c r="BM21" s="29"/>
      <c r="BO21" s="29"/>
      <c r="BQ21" s="29"/>
      <c r="BS21" s="29"/>
      <c r="BU21" s="29"/>
      <c r="BW21" s="29"/>
      <c r="BY21" s="29"/>
      <c r="CA21" s="29"/>
      <c r="CC21" s="29"/>
      <c r="CE21" s="29"/>
      <c r="CG21" s="29"/>
      <c r="CI21" s="29"/>
      <c r="CK21" s="29"/>
      <c r="CM21" s="29"/>
      <c r="CO21" s="29"/>
      <c r="CQ21" s="29"/>
      <c r="CS21" s="29"/>
      <c r="CU21" s="29"/>
      <c r="CW21" s="29"/>
      <c r="CY21" s="29"/>
      <c r="DA21" s="29"/>
      <c r="DC21" s="29"/>
      <c r="DD21" s="5"/>
      <c r="DE21" s="29"/>
      <c r="DF21" s="5"/>
      <c r="DG21" s="29"/>
      <c r="DH21" s="5"/>
      <c r="DI21" s="29">
        <f t="shared" si="1"/>
        <v>0</v>
      </c>
      <c r="DJ21" s="5"/>
      <c r="DK21" s="29">
        <f t="shared" si="24"/>
        <v>0</v>
      </c>
      <c r="DL21" s="5"/>
      <c r="DM21" s="29">
        <f t="shared" si="24"/>
        <v>0</v>
      </c>
      <c r="DN21" s="5"/>
      <c r="DO21" s="29">
        <f t="shared" si="24"/>
        <v>0</v>
      </c>
      <c r="DP21" s="5"/>
      <c r="DQ21" s="29">
        <f t="shared" si="2"/>
        <v>0</v>
      </c>
      <c r="DR21" s="5"/>
      <c r="DS21" s="29">
        <f t="shared" si="3"/>
        <v>0</v>
      </c>
      <c r="DT21" s="5"/>
      <c r="DU21" s="29">
        <f t="shared" si="3"/>
        <v>0</v>
      </c>
      <c r="DV21" s="5"/>
      <c r="DW21" s="29">
        <f t="shared" si="3"/>
        <v>0</v>
      </c>
      <c r="DX21" s="5"/>
      <c r="DY21" s="29">
        <f t="shared" si="4"/>
        <v>0</v>
      </c>
      <c r="DZ21" s="5"/>
      <c r="EA21" s="29">
        <f t="shared" si="27"/>
        <v>0</v>
      </c>
      <c r="EB21" s="5"/>
      <c r="EC21" s="29">
        <f t="shared" si="27"/>
        <v>-1.5978757292032242E-3</v>
      </c>
      <c r="ED21" s="5"/>
      <c r="EE21" s="29">
        <f t="shared" si="27"/>
        <v>-5874205.7084021242</v>
      </c>
      <c r="EF21" s="5"/>
      <c r="EG21" s="29"/>
      <c r="EH21" s="5"/>
      <c r="EI21" s="29"/>
      <c r="EJ21" s="5"/>
      <c r="EK21" s="29"/>
      <c r="EL21" s="5"/>
      <c r="EM21" s="29"/>
      <c r="EN21" s="5"/>
      <c r="EO21" s="29"/>
      <c r="EP21" s="5"/>
      <c r="EQ21" s="29"/>
      <c r="ER21" s="5"/>
      <c r="ES21" s="29"/>
      <c r="ET21" s="5"/>
      <c r="EU21" s="29"/>
      <c r="EV21" s="5"/>
      <c r="EW21" s="29"/>
      <c r="EX21" s="5"/>
      <c r="EY21" s="29"/>
      <c r="EZ21" s="5"/>
      <c r="FA21" s="29"/>
      <c r="FB21" s="5"/>
      <c r="FC21" s="29"/>
      <c r="FD21" s="5"/>
      <c r="FE21" s="29"/>
      <c r="FF21" s="5"/>
      <c r="FG21" s="29"/>
      <c r="FH21" s="5"/>
      <c r="FI21" s="29"/>
      <c r="FJ21" s="5"/>
      <c r="FK21" s="29"/>
      <c r="FL21" s="5"/>
      <c r="FM21" s="29"/>
      <c r="FN21" s="5"/>
      <c r="FO21" s="29"/>
      <c r="FP21" s="5"/>
      <c r="FQ21" s="29"/>
      <c r="FR21" s="5"/>
      <c r="FS21" s="29"/>
      <c r="FT21" s="5"/>
      <c r="FU21" s="29"/>
      <c r="FV21" s="5"/>
      <c r="FW21" s="29"/>
      <c r="FX21" s="5"/>
      <c r="FY21" s="29"/>
      <c r="FZ21" s="5"/>
      <c r="GA21" s="29"/>
      <c r="GB21" s="5"/>
      <c r="GC21" s="29"/>
      <c r="GD21" s="5"/>
      <c r="GE21" s="29"/>
      <c r="GF21" s="5"/>
      <c r="GG21" s="29"/>
      <c r="GH21" s="5"/>
      <c r="GI21" s="29"/>
      <c r="GJ21" s="5"/>
      <c r="GK21" s="29"/>
      <c r="GL21" s="5"/>
      <c r="GM21" s="29"/>
      <c r="GN21" s="5"/>
      <c r="GO21" s="29"/>
      <c r="GP21" s="5"/>
      <c r="GQ21" s="29"/>
      <c r="GR21" s="5"/>
      <c r="GS21" s="29"/>
      <c r="GT21" s="5"/>
      <c r="GU21" s="29"/>
    </row>
    <row r="22" spans="1:203">
      <c r="A22" s="96" t="s">
        <v>177</v>
      </c>
      <c r="C22" s="29"/>
      <c r="E22" s="29"/>
      <c r="G22" s="29"/>
      <c r="I22" s="29">
        <v>0</v>
      </c>
      <c r="K22" s="29">
        <v>802485.99</v>
      </c>
      <c r="M22" s="29">
        <v>802485.97499998764</v>
      </c>
      <c r="O22" s="29">
        <v>802485.99</v>
      </c>
      <c r="Q22" s="29">
        <v>972078.05</v>
      </c>
      <c r="S22" s="29">
        <v>375822.71</v>
      </c>
      <c r="U22" s="29">
        <v>1212693.1449999877</v>
      </c>
      <c r="W22" s="29">
        <v>1647828.15</v>
      </c>
      <c r="Y22" s="29">
        <v>1443098.24</v>
      </c>
      <c r="AA22" s="29">
        <v>-1021899.2619799993</v>
      </c>
      <c r="AC22" s="29">
        <v>265017.31</v>
      </c>
      <c r="AE22" s="29">
        <v>139043.61840212438</v>
      </c>
      <c r="AG22" s="29">
        <v>29521.809999999998</v>
      </c>
      <c r="AI22" s="29">
        <v>-56498.760000000126</v>
      </c>
      <c r="AK22" s="29">
        <v>-496734.72000000038</v>
      </c>
      <c r="AM22" s="29">
        <v>10772.69</v>
      </c>
      <c r="AO22" s="29">
        <v>10261.384</v>
      </c>
      <c r="AQ22" s="29">
        <v>40573.659999999996</v>
      </c>
      <c r="AS22" s="29">
        <v>28418</v>
      </c>
      <c r="AU22" s="29">
        <v>0</v>
      </c>
      <c r="AW22" s="29">
        <v>10000</v>
      </c>
      <c r="AY22" s="29">
        <v>-815099.88</v>
      </c>
      <c r="BA22" s="29">
        <v>-175476.17870014027</v>
      </c>
      <c r="BC22" s="29">
        <v>-845389.13870013913</v>
      </c>
      <c r="BE22" s="29">
        <v>-860055.69000000006</v>
      </c>
      <c r="BG22" s="29">
        <v>-9864014.0910999998</v>
      </c>
      <c r="BI22" s="29">
        <v>-10176701.9811</v>
      </c>
      <c r="BK22" s="29">
        <v>-7318045.3499999996</v>
      </c>
      <c r="BM22" s="29">
        <v>0</v>
      </c>
      <c r="BO22" s="29">
        <v>0</v>
      </c>
      <c r="BQ22" s="29"/>
      <c r="BS22" s="29">
        <v>0</v>
      </c>
      <c r="BU22" s="29">
        <v>0</v>
      </c>
      <c r="BW22" s="29">
        <v>0</v>
      </c>
      <c r="BY22" s="29">
        <v>0</v>
      </c>
      <c r="CA22" s="29">
        <v>0</v>
      </c>
      <c r="CC22" s="29">
        <v>0</v>
      </c>
      <c r="CE22" s="29">
        <v>0</v>
      </c>
      <c r="CG22" s="29">
        <v>40737</v>
      </c>
      <c r="CI22" s="29">
        <v>0</v>
      </c>
      <c r="CK22" s="29">
        <v>-113210.55000000002</v>
      </c>
      <c r="CM22" s="29">
        <v>0</v>
      </c>
      <c r="CO22" s="29">
        <v>0</v>
      </c>
      <c r="CQ22" s="29">
        <v>0</v>
      </c>
      <c r="CS22" s="29">
        <v>-313147.60465093661</v>
      </c>
      <c r="CU22" s="29">
        <v>-3969.26</v>
      </c>
      <c r="CW22" s="29">
        <v>-14510.47</v>
      </c>
      <c r="CY22" s="29">
        <v>253864.72170248281</v>
      </c>
      <c r="DA22" s="29">
        <v>138464.46</v>
      </c>
      <c r="DC22" s="29"/>
      <c r="DD22" s="5"/>
      <c r="DE22" s="29"/>
      <c r="DF22" s="5"/>
      <c r="DG22" s="29"/>
      <c r="DH22" s="5"/>
      <c r="DI22" s="29">
        <f t="shared" si="1"/>
        <v>0</v>
      </c>
      <c r="DJ22" s="5"/>
      <c r="DK22" s="29">
        <f t="shared" si="24"/>
        <v>1.5000012353993952E-2</v>
      </c>
      <c r="DL22" s="5"/>
      <c r="DM22" s="29">
        <f t="shared" si="24"/>
        <v>-1.5000012353993952E-2</v>
      </c>
      <c r="DN22" s="5"/>
      <c r="DO22" s="29">
        <f t="shared" si="24"/>
        <v>-169592.06000000006</v>
      </c>
      <c r="DP22" s="5"/>
      <c r="DQ22" s="29">
        <f t="shared" si="2"/>
        <v>972078.05</v>
      </c>
      <c r="DR22" s="5"/>
      <c r="DS22" s="29">
        <f t="shared" si="3"/>
        <v>-836870.43499998772</v>
      </c>
      <c r="DT22" s="5"/>
      <c r="DU22" s="29">
        <f t="shared" si="3"/>
        <v>-435135.00500001223</v>
      </c>
      <c r="DV22" s="5"/>
      <c r="DW22" s="29">
        <f t="shared" si="3"/>
        <v>204729.90999999992</v>
      </c>
      <c r="DX22" s="5"/>
      <c r="DY22" s="29">
        <f t="shared" si="4"/>
        <v>1443098.24</v>
      </c>
      <c r="DZ22" s="5"/>
      <c r="EA22" s="29">
        <f t="shared" si="27"/>
        <v>-1286916.5719799993</v>
      </c>
      <c r="EB22" s="5"/>
      <c r="EC22" s="29">
        <f t="shared" si="27"/>
        <v>125973.69159787562</v>
      </c>
      <c r="ED22" s="5"/>
      <c r="EE22" s="29">
        <f t="shared" si="27"/>
        <v>109521.80840212438</v>
      </c>
      <c r="EF22" s="5"/>
      <c r="EG22" s="29">
        <f t="shared" si="28"/>
        <v>29521.809999999998</v>
      </c>
      <c r="EH22" s="5"/>
      <c r="EI22" s="29">
        <f t="shared" si="25"/>
        <v>440235.96000000025</v>
      </c>
      <c r="EJ22" s="5"/>
      <c r="EK22" s="29">
        <f t="shared" si="25"/>
        <v>-507507.41000000038</v>
      </c>
      <c r="EL22" s="5"/>
      <c r="EM22" s="29">
        <f t="shared" si="25"/>
        <v>511.30600000000049</v>
      </c>
      <c r="EN22" s="5"/>
      <c r="EO22" s="29">
        <f t="shared" si="26"/>
        <v>10261.384</v>
      </c>
      <c r="EP22" s="5"/>
      <c r="EQ22" s="29">
        <f t="shared" si="5"/>
        <v>12155.659999999996</v>
      </c>
      <c r="ER22" s="5"/>
      <c r="ES22" s="29">
        <f t="shared" si="6"/>
        <v>28418</v>
      </c>
      <c r="ET22" s="5"/>
      <c r="EU22" s="29">
        <f t="shared" si="7"/>
        <v>-10000</v>
      </c>
      <c r="EV22" s="5"/>
      <c r="EW22" s="29">
        <f t="shared" ref="EW22:EW23" si="29">AW22</f>
        <v>10000</v>
      </c>
      <c r="EX22" s="5"/>
      <c r="EY22" s="29">
        <f t="shared" si="9"/>
        <v>-639623.70129985968</v>
      </c>
      <c r="EZ22" s="5"/>
      <c r="FA22" s="29">
        <f t="shared" si="9"/>
        <v>669912.9599999988</v>
      </c>
      <c r="FB22" s="5"/>
      <c r="FC22" s="29">
        <f t="shared" si="9"/>
        <v>14666.551299860934</v>
      </c>
      <c r="FD22" s="5"/>
      <c r="FE22" s="29">
        <f t="shared" si="10"/>
        <v>-860055.69000000006</v>
      </c>
      <c r="FF22" s="5"/>
      <c r="FG22" s="29">
        <v>780727.89000000025</v>
      </c>
      <c r="FH22" s="5"/>
      <c r="FI22" s="29">
        <f t="shared" si="11"/>
        <v>-2858656.6311000008</v>
      </c>
      <c r="FJ22" s="5"/>
      <c r="FK22" s="29">
        <f t="shared" si="11"/>
        <v>-7318045.3499999996</v>
      </c>
      <c r="FL22" s="5"/>
      <c r="FM22" s="29">
        <f t="shared" si="12"/>
        <v>0</v>
      </c>
      <c r="FN22" s="5"/>
      <c r="FO22" s="29">
        <f t="shared" si="13"/>
        <v>0</v>
      </c>
      <c r="FP22" s="5"/>
      <c r="FQ22" s="29">
        <f t="shared" si="14"/>
        <v>0</v>
      </c>
      <c r="FR22" s="5"/>
      <c r="FS22" s="29">
        <f t="shared" si="15"/>
        <v>0</v>
      </c>
      <c r="FT22" s="5"/>
      <c r="FU22" s="29">
        <f t="shared" si="16"/>
        <v>0</v>
      </c>
      <c r="FV22" s="5"/>
      <c r="FW22" s="29">
        <f t="shared" si="16"/>
        <v>0</v>
      </c>
      <c r="FX22" s="5"/>
      <c r="FY22" s="29">
        <f t="shared" si="16"/>
        <v>0</v>
      </c>
      <c r="FZ22" s="5"/>
      <c r="GA22" s="29">
        <f t="shared" si="17"/>
        <v>0</v>
      </c>
      <c r="GB22" s="5"/>
      <c r="GC22" s="29">
        <f t="shared" si="18"/>
        <v>0</v>
      </c>
      <c r="GD22" s="5"/>
      <c r="GE22" s="29">
        <f t="shared" si="18"/>
        <v>-40737</v>
      </c>
      <c r="GF22" s="5"/>
      <c r="GG22" s="29">
        <f t="shared" si="18"/>
        <v>40737</v>
      </c>
      <c r="GH22" s="5"/>
      <c r="GI22" s="29">
        <f t="shared" si="19"/>
        <v>0</v>
      </c>
      <c r="GJ22" s="5"/>
      <c r="GK22" s="29">
        <f t="shared" si="20"/>
        <v>-113210.55000000002</v>
      </c>
      <c r="GL22" s="5"/>
      <c r="GM22" s="29">
        <f t="shared" si="20"/>
        <v>0</v>
      </c>
      <c r="GN22" s="5"/>
      <c r="GO22" s="29">
        <f t="shared" si="21"/>
        <v>0</v>
      </c>
      <c r="GP22" s="5"/>
      <c r="GQ22" s="29">
        <f t="shared" si="22"/>
        <v>0</v>
      </c>
      <c r="GR22" s="5"/>
      <c r="GS22" s="29">
        <f t="shared" si="23"/>
        <v>-309178.3446509366</v>
      </c>
      <c r="GT22" s="5"/>
      <c r="GU22" s="29">
        <f t="shared" si="23"/>
        <v>10541.21</v>
      </c>
    </row>
    <row r="23" spans="1:203" s="39" customFormat="1" ht="13">
      <c r="A23" s="37" t="s">
        <v>102</v>
      </c>
      <c r="C23" s="104"/>
      <c r="E23" s="104"/>
      <c r="F23" s="105"/>
      <c r="G23" s="104"/>
      <c r="H23" s="105"/>
      <c r="I23" s="104">
        <f>I5+I6</f>
        <v>109667704.98610213</v>
      </c>
      <c r="K23" s="104">
        <f>K5+K6</f>
        <v>89609373.000839844</v>
      </c>
      <c r="M23" s="104">
        <f>M5+M6</f>
        <v>65022511.062709421</v>
      </c>
      <c r="N23" s="105"/>
      <c r="O23" s="104">
        <f>O5+O6</f>
        <v>48788467.098431997</v>
      </c>
      <c r="P23" s="105"/>
      <c r="Q23" s="104">
        <f>Q5+Q6</f>
        <v>122029871.90044452</v>
      </c>
      <c r="S23" s="104">
        <f>S5+S6</f>
        <v>96127592.929110572</v>
      </c>
      <c r="U23" s="104">
        <f>U5+U6</f>
        <v>42844562.674377553</v>
      </c>
      <c r="V23" s="105"/>
      <c r="W23" s="104">
        <f>W5+W6</f>
        <v>48094140.643057339</v>
      </c>
      <c r="X23" s="105"/>
      <c r="Y23" s="104">
        <f>Y5+Y6</f>
        <v>45500306.378384024</v>
      </c>
      <c r="AA23" s="104">
        <f>AA5+AA6</f>
        <v>-6183781.858136382</v>
      </c>
      <c r="AC23" s="104">
        <f>AC5+AC6</f>
        <v>-6417685.4917982854</v>
      </c>
      <c r="AD23" s="105"/>
      <c r="AE23" s="104">
        <f>AE5+AE6</f>
        <v>-13424352.143895552</v>
      </c>
      <c r="AF23" s="105"/>
      <c r="AG23" s="104">
        <f>AG5+AG6</f>
        <v>21312992.871387813</v>
      </c>
      <c r="AI23" s="104">
        <f>AI5+AI6</f>
        <v>21710302.086208515</v>
      </c>
      <c r="AK23" s="104">
        <f>AK5+AK6</f>
        <v>13980401.720074512</v>
      </c>
      <c r="AL23" s="105"/>
      <c r="AM23" s="104">
        <f>AM5+AM6</f>
        <v>12083568.608374566</v>
      </c>
      <c r="AN23" s="105"/>
      <c r="AO23" s="104">
        <f>AO5+AO6</f>
        <v>12640810.638172096</v>
      </c>
      <c r="AQ23" s="104">
        <f>AQ5+AQ6</f>
        <v>13927838.223718595</v>
      </c>
      <c r="AS23" s="104">
        <f>AS5+AS6</f>
        <v>7728251.8187417872</v>
      </c>
      <c r="AT23" s="105"/>
      <c r="AU23" s="104">
        <f>AU5+AU6</f>
        <v>-3220410.6600545589</v>
      </c>
      <c r="AV23" s="105"/>
      <c r="AW23" s="104">
        <f>AW5+AW6</f>
        <v>11227353.888320297</v>
      </c>
      <c r="AX23" s="105"/>
      <c r="AY23" s="104">
        <f>AY5+AY6</f>
        <v>13547203.846815154</v>
      </c>
      <c r="BA23" s="104">
        <f>BA5+BA6</f>
        <v>9646887.3731150143</v>
      </c>
      <c r="BB23" s="105"/>
      <c r="BC23" s="104">
        <f>BC5+BC6</f>
        <v>15737865.543115003</v>
      </c>
      <c r="BD23" s="105"/>
      <c r="BE23" s="104">
        <f>BE5+BE6</f>
        <v>27815392.369200006</v>
      </c>
      <c r="BF23" s="105"/>
      <c r="BG23" s="104">
        <f>BG5+BG6</f>
        <v>5224438.7438516468</v>
      </c>
      <c r="BI23" s="104">
        <f>BI5+BI6</f>
        <v>-1299935.6800000146</v>
      </c>
      <c r="BJ23" s="105"/>
      <c r="BK23" s="104">
        <f>BK5+BK6</f>
        <v>-1773723.529199969</v>
      </c>
      <c r="BL23" s="105"/>
      <c r="BM23" s="104">
        <f>BM5+BM6</f>
        <v>14769319.464999981</v>
      </c>
      <c r="BN23" s="105"/>
      <c r="BO23" s="104">
        <f>BO5+BO6</f>
        <v>-7798049.5018558288</v>
      </c>
      <c r="BQ23" s="104">
        <f>BQ5+BQ6</f>
        <v>-5748398.2491999967</v>
      </c>
      <c r="BR23" s="105"/>
      <c r="BS23" s="104">
        <f>BS5+BS6</f>
        <v>-5753415.5099999998</v>
      </c>
      <c r="BT23" s="105"/>
      <c r="BU23" s="104">
        <f>BU5+BU6</f>
        <v>-8061647.8649999956</v>
      </c>
      <c r="BW23" s="104">
        <f>BW5+BW6</f>
        <v>-15071569.239999993</v>
      </c>
      <c r="BX23" s="105"/>
      <c r="BY23" s="104">
        <f>BY5+BY6</f>
        <v>-11523040.639999999</v>
      </c>
      <c r="BZ23" s="105"/>
      <c r="CA23" s="104">
        <f>CA5+CA6</f>
        <v>-12915230.980000006</v>
      </c>
      <c r="CB23" s="105"/>
      <c r="CC23" s="104">
        <f>CC5+CC6</f>
        <v>5722563.4600000177</v>
      </c>
      <c r="CE23" s="104">
        <f>CE5+CE6</f>
        <v>-3924227.6199999992</v>
      </c>
      <c r="CF23" s="105"/>
      <c r="CG23" s="104">
        <v>-17840509.07</v>
      </c>
      <c r="CH23" s="105"/>
      <c r="CI23" s="104">
        <v>-12069041.669999996</v>
      </c>
      <c r="CJ23" s="105"/>
      <c r="CK23" s="104">
        <f>CK5+CK6</f>
        <v>11962263.304493584</v>
      </c>
      <c r="CL23" s="105"/>
      <c r="CM23" s="104">
        <f>CM5+CM6</f>
        <v>-14528115.223010916</v>
      </c>
      <c r="CN23" s="105"/>
      <c r="CO23" s="104">
        <f>CO5+CO6</f>
        <v>-10960425.025990831</v>
      </c>
      <c r="CP23" s="105"/>
      <c r="CQ23" s="104">
        <f>CQ5+CQ6</f>
        <v>-12154944.707480462</v>
      </c>
      <c r="CR23" s="105"/>
      <c r="CS23" s="104">
        <f>CS5+CS6</f>
        <v>7324121.5177091807</v>
      </c>
      <c r="CT23" s="105"/>
      <c r="CU23" s="104">
        <f>CU5+CU6</f>
        <v>-6805288.2909388142</v>
      </c>
      <c r="CV23" s="105"/>
      <c r="CW23" s="104">
        <f>CW5+CW6</f>
        <v>-7414247.8889178578</v>
      </c>
      <c r="CX23" s="105"/>
      <c r="CY23" s="104">
        <f>CY5+CY6</f>
        <v>2939103.1729707764</v>
      </c>
      <c r="CZ23" s="105"/>
      <c r="DA23" s="104">
        <f>DA5+DA6</f>
        <v>6391284.9918999989</v>
      </c>
      <c r="DB23" s="94"/>
      <c r="DC23" s="104"/>
      <c r="DD23" s="105"/>
      <c r="DE23" s="104"/>
      <c r="DF23" s="105"/>
      <c r="DG23" s="104"/>
      <c r="DH23" s="105"/>
      <c r="DI23" s="104">
        <f>DI5+DI6</f>
        <v>109667704.98610213</v>
      </c>
      <c r="DJ23" s="105"/>
      <c r="DK23" s="104">
        <f>DK5+DK6</f>
        <v>24586861.93813042</v>
      </c>
      <c r="DL23" s="105"/>
      <c r="DM23" s="104">
        <f>DM5+DM6</f>
        <v>16234043.96427742</v>
      </c>
      <c r="DN23" s="105"/>
      <c r="DO23" s="104">
        <f>DO5+DO6</f>
        <v>-73241404.802012518</v>
      </c>
      <c r="DP23" s="105"/>
      <c r="DQ23" s="104">
        <f>DQ5+DQ6</f>
        <v>122029871.90044452</v>
      </c>
      <c r="DR23" s="105"/>
      <c r="DS23" s="104">
        <f>DS5+DS6</f>
        <v>53283030.254733019</v>
      </c>
      <c r="DT23" s="105"/>
      <c r="DU23" s="104">
        <f>DU5+DU6</f>
        <v>-5249577.9686797857</v>
      </c>
      <c r="DV23" s="105"/>
      <c r="DW23" s="104">
        <f>DW5+DW6</f>
        <v>2593834.2646733187</v>
      </c>
      <c r="DX23" s="105"/>
      <c r="DY23" s="104">
        <f>DY5+DY6</f>
        <v>45500306.378384024</v>
      </c>
      <c r="DZ23" s="105"/>
      <c r="EA23" s="104">
        <f>EA5+EA6</f>
        <v>233903.63366188435</v>
      </c>
      <c r="EB23" s="105"/>
      <c r="EC23" s="104">
        <f>EC5+EC6</f>
        <v>7006666.6520972811</v>
      </c>
      <c r="ED23" s="105"/>
      <c r="EE23" s="104">
        <f>EE5+EE6</f>
        <v>-34737345.015283383</v>
      </c>
      <c r="EF23" s="105"/>
      <c r="EG23" s="104">
        <f>EG5+EG6</f>
        <v>21312992.871387813</v>
      </c>
      <c r="EH23" s="105"/>
      <c r="EI23" s="104">
        <f>EI5+EI6</f>
        <v>7729900.3661339991</v>
      </c>
      <c r="EJ23" s="105"/>
      <c r="EK23" s="104">
        <f>EK5+EK6</f>
        <v>1896833.1116999499</v>
      </c>
      <c r="EL23" s="105"/>
      <c r="EM23" s="104">
        <f>EM5+EM6</f>
        <v>-557242.0297975326</v>
      </c>
      <c r="EN23" s="105"/>
      <c r="EO23" s="104">
        <f>EO5+EO6</f>
        <v>12640810.638172096</v>
      </c>
      <c r="EP23" s="105"/>
      <c r="EQ23" s="104">
        <f t="shared" si="5"/>
        <v>6199586.4049768075</v>
      </c>
      <c r="ER23" s="105"/>
      <c r="ES23" s="104">
        <f t="shared" si="6"/>
        <v>10948662.478796346</v>
      </c>
      <c r="ET23" s="105"/>
      <c r="EU23" s="104">
        <f t="shared" si="7"/>
        <v>-14447764.548374856</v>
      </c>
      <c r="EV23" s="105"/>
      <c r="EW23" s="104">
        <f t="shared" si="29"/>
        <v>11227353.888320297</v>
      </c>
      <c r="EX23" s="105"/>
      <c r="EY23" s="104">
        <f t="shared" si="9"/>
        <v>3900316.4737001397</v>
      </c>
      <c r="EZ23" s="105"/>
      <c r="FA23" s="104">
        <f t="shared" si="9"/>
        <v>-6090978.1699999887</v>
      </c>
      <c r="FB23" s="105"/>
      <c r="FC23" s="104">
        <f t="shared" si="9"/>
        <v>-12077526.826085003</v>
      </c>
      <c r="FD23" s="105"/>
      <c r="FE23" s="104">
        <f t="shared" si="10"/>
        <v>27815392.369200006</v>
      </c>
      <c r="FF23" s="105"/>
      <c r="FG23" s="104">
        <f>FG5+FG6</f>
        <v>7626607.4938516598</v>
      </c>
      <c r="FH23" s="105"/>
      <c r="FI23" s="104">
        <f t="shared" ref="FI23" si="30">BI23-BK23</f>
        <v>473787.84919995442</v>
      </c>
      <c r="FJ23" s="105"/>
      <c r="FK23" s="104">
        <f t="shared" si="11"/>
        <v>-16543042.99419995</v>
      </c>
      <c r="FL23" s="105"/>
      <c r="FM23" s="104">
        <f t="shared" si="12"/>
        <v>22567368.966855809</v>
      </c>
      <c r="FN23" s="105"/>
      <c r="FO23" s="104">
        <f t="shared" si="13"/>
        <v>-2049651.2526558321</v>
      </c>
      <c r="FP23" s="105"/>
      <c r="FQ23" s="104">
        <f t="shared" si="14"/>
        <v>5017.2608000030741</v>
      </c>
      <c r="FR23" s="105"/>
      <c r="FS23" s="104">
        <f t="shared" si="15"/>
        <v>-5753415.5099999998</v>
      </c>
      <c r="FT23" s="105"/>
      <c r="FU23" s="104">
        <f t="shared" si="16"/>
        <v>7009921.3749999972</v>
      </c>
      <c r="FV23" s="105"/>
      <c r="FW23" s="104">
        <f t="shared" si="16"/>
        <v>-3548528.599999994</v>
      </c>
      <c r="FX23" s="105"/>
      <c r="FY23" s="104">
        <f t="shared" si="16"/>
        <v>1392190.3400000073</v>
      </c>
      <c r="FZ23" s="105"/>
      <c r="GA23" s="104">
        <f t="shared" si="17"/>
        <v>-12915230.980000006</v>
      </c>
      <c r="GB23" s="105"/>
      <c r="GC23" s="104">
        <f t="shared" si="18"/>
        <v>9646791.0800000168</v>
      </c>
      <c r="GD23" s="105"/>
      <c r="GE23" s="104">
        <f t="shared" si="18"/>
        <v>13916281.450000001</v>
      </c>
      <c r="GF23" s="105"/>
      <c r="GG23" s="104">
        <f t="shared" si="18"/>
        <v>-5771467.4000000041</v>
      </c>
      <c r="GH23" s="105"/>
      <c r="GI23" s="104">
        <f t="shared" si="19"/>
        <v>-12069041.669999996</v>
      </c>
      <c r="GJ23" s="105"/>
      <c r="GK23" s="104">
        <f t="shared" si="20"/>
        <v>26490378.5275045</v>
      </c>
      <c r="GL23" s="105"/>
      <c r="GM23" s="104">
        <f t="shared" si="20"/>
        <v>-3567690.1970200855</v>
      </c>
      <c r="GN23" s="105"/>
      <c r="GO23" s="104">
        <f t="shared" si="21"/>
        <v>1194519.6814896315</v>
      </c>
      <c r="GP23" s="105"/>
      <c r="GQ23" s="104">
        <f t="shared" si="22"/>
        <v>-12154944.707480462</v>
      </c>
      <c r="GR23" s="105"/>
      <c r="GS23" s="104">
        <f t="shared" si="23"/>
        <v>14129409.808647994</v>
      </c>
      <c r="GT23" s="105"/>
      <c r="GU23" s="104">
        <f t="shared" si="23"/>
        <v>608959.59797904361</v>
      </c>
    </row>
    <row r="24" spans="1:203">
      <c r="A24" s="38"/>
      <c r="BQ24" s="114"/>
    </row>
    <row r="25" spans="1:203" ht="13">
      <c r="A25" s="106" t="s">
        <v>103</v>
      </c>
    </row>
    <row r="26" spans="1:203">
      <c r="A26" s="95" t="s">
        <v>104</v>
      </c>
    </row>
    <row r="27" spans="1:203">
      <c r="A27" s="38" t="s">
        <v>105</v>
      </c>
      <c r="C27" s="29"/>
      <c r="E27" s="29"/>
      <c r="G27" s="29"/>
      <c r="I27" s="29">
        <v>2419.2649999952318</v>
      </c>
      <c r="K27" s="29">
        <v>12123811.82</v>
      </c>
      <c r="M27" s="29">
        <v>6139872.001669392</v>
      </c>
      <c r="O27" s="29">
        <v>3146080</v>
      </c>
      <c r="Q27" s="29">
        <v>0</v>
      </c>
      <c r="S27" s="29">
        <v>0</v>
      </c>
      <c r="U27" s="29">
        <v>0</v>
      </c>
      <c r="W27" s="29">
        <v>0</v>
      </c>
      <c r="Y27" s="29"/>
      <c r="AA27" s="29">
        <v>5002925.1923316931</v>
      </c>
      <c r="AC27" s="29">
        <v>5002924.2</v>
      </c>
      <c r="AE27" s="29">
        <v>5002925.1900000004</v>
      </c>
      <c r="AG27" s="29">
        <v>1039257.1100000005</v>
      </c>
      <c r="AI27" s="29">
        <v>67232.479999999996</v>
      </c>
      <c r="AK27" s="29">
        <v>62218.94</v>
      </c>
      <c r="AM27" s="29">
        <v>62218.740000000005</v>
      </c>
      <c r="AO27" s="29">
        <v>8130.08</v>
      </c>
      <c r="AQ27" s="29">
        <v>204354.54</v>
      </c>
      <c r="AS27" s="29">
        <v>123577.23</v>
      </c>
      <c r="AU27" s="29">
        <v>90300.81</v>
      </c>
      <c r="AW27" s="29">
        <v>0</v>
      </c>
      <c r="AY27" s="29">
        <v>13414.63</v>
      </c>
      <c r="BA27" s="29">
        <v>13414.63</v>
      </c>
      <c r="BC27" s="29">
        <v>13414.63</v>
      </c>
      <c r="BE27" s="29">
        <v>13414.63</v>
      </c>
      <c r="BG27" s="29">
        <v>517672</v>
      </c>
      <c r="BI27" s="29">
        <v>513863.05000000005</v>
      </c>
      <c r="BK27" s="29">
        <v>513863.05000000005</v>
      </c>
      <c r="BM27" s="29">
        <v>513863.05000000005</v>
      </c>
      <c r="BO27" s="29">
        <v>503363.05</v>
      </c>
      <c r="BQ27" s="29">
        <v>503363.05</v>
      </c>
      <c r="BS27" s="29">
        <v>477672.08</v>
      </c>
      <c r="BU27" s="29">
        <v>19198.700000000012</v>
      </c>
      <c r="BW27" s="29">
        <v>-19198.7</v>
      </c>
      <c r="BY27" s="29">
        <v>-19918.7</v>
      </c>
      <c r="CA27" s="29">
        <v>81.3</v>
      </c>
      <c r="CC27" s="29">
        <v>136530.29</v>
      </c>
      <c r="CE27" s="29">
        <v>0</v>
      </c>
      <c r="CG27" s="29">
        <v>0</v>
      </c>
      <c r="CI27" s="29">
        <v>0</v>
      </c>
      <c r="CK27" s="29">
        <v>122719.11</v>
      </c>
      <c r="CM27" s="29">
        <v>181413.95</v>
      </c>
      <c r="CO27" s="29">
        <v>183837.81</v>
      </c>
      <c r="CQ27" s="29">
        <v>103350</v>
      </c>
      <c r="CS27" s="29">
        <v>16540.649999999998</v>
      </c>
      <c r="CU27" s="29">
        <v>16540.650000000001</v>
      </c>
      <c r="CW27" s="29">
        <v>16540.650000000001</v>
      </c>
      <c r="CY27" s="29">
        <v>11500</v>
      </c>
      <c r="DA27" s="29">
        <v>37500</v>
      </c>
      <c r="DC27" s="29"/>
      <c r="DD27" s="5"/>
      <c r="DE27" s="29"/>
      <c r="DF27" s="5"/>
      <c r="DG27" s="29"/>
      <c r="DH27" s="5"/>
      <c r="DI27" s="29">
        <f t="shared" ref="DI27:DI28" si="31">I27</f>
        <v>2419.2649999952318</v>
      </c>
      <c r="DJ27" s="5"/>
      <c r="DK27" s="29">
        <f t="shared" ref="DK27:DO36" si="32">K27-M27</f>
        <v>5983939.8183306083</v>
      </c>
      <c r="DL27" s="5"/>
      <c r="DM27" s="29">
        <f t="shared" si="32"/>
        <v>2993792.001669392</v>
      </c>
      <c r="DN27" s="5"/>
      <c r="DO27" s="29">
        <f t="shared" si="32"/>
        <v>3146080</v>
      </c>
      <c r="DP27" s="5"/>
      <c r="DQ27" s="29">
        <f t="shared" ref="DQ27:DQ28" si="33">Q27</f>
        <v>0</v>
      </c>
      <c r="DR27" s="5"/>
      <c r="DS27" s="29">
        <f t="shared" ref="DS27:DW44" si="34">S27-U27</f>
        <v>0</v>
      </c>
      <c r="DT27" s="5"/>
      <c r="DU27" s="29">
        <f t="shared" si="34"/>
        <v>0</v>
      </c>
      <c r="DV27" s="5"/>
      <c r="DW27" s="29">
        <f t="shared" si="34"/>
        <v>0</v>
      </c>
      <c r="DX27" s="5"/>
      <c r="DY27" s="29">
        <f t="shared" ref="DY27:DY44" si="35">Y27</f>
        <v>0</v>
      </c>
      <c r="DZ27" s="5"/>
      <c r="EA27" s="29">
        <f t="shared" ref="EA27:EE36" si="36">AA27-AC27</f>
        <v>0.99233169294893742</v>
      </c>
      <c r="EB27" s="5"/>
      <c r="EC27" s="29">
        <f t="shared" si="36"/>
        <v>-0.99000000022351742</v>
      </c>
      <c r="ED27" s="5"/>
      <c r="EE27" s="29">
        <f t="shared" si="36"/>
        <v>3963668.08</v>
      </c>
      <c r="EF27" s="5"/>
      <c r="EG27" s="29">
        <f t="shared" ref="EG27:EG44" si="37">AG27</f>
        <v>1039257.1100000005</v>
      </c>
      <c r="EH27" s="5"/>
      <c r="EI27" s="29">
        <f t="shared" ref="EI27:EM44" si="38">AI27-AK27</f>
        <v>5013.5399999999936</v>
      </c>
      <c r="EJ27" s="5"/>
      <c r="EK27" s="29">
        <f t="shared" si="38"/>
        <v>0.19999999999708962</v>
      </c>
      <c r="EL27" s="5"/>
      <c r="EM27" s="29">
        <f t="shared" si="38"/>
        <v>54088.66</v>
      </c>
      <c r="EN27" s="5"/>
      <c r="EO27" s="29">
        <f t="shared" ref="EO27:EO36" si="39">AO27</f>
        <v>8130.08</v>
      </c>
      <c r="EP27" s="5"/>
      <c r="EQ27" s="29">
        <f t="shared" ref="EQ27:EQ36" si="40">AQ27-AS27</f>
        <v>80777.310000000012</v>
      </c>
      <c r="ER27" s="5"/>
      <c r="ES27" s="29">
        <f t="shared" ref="ES27:ES36" si="41">AS27-AU27</f>
        <v>33276.42</v>
      </c>
      <c r="ET27" s="5"/>
      <c r="EU27" s="29">
        <f t="shared" ref="EU27:EU36" si="42">AU27-AW27</f>
        <v>90300.81</v>
      </c>
      <c r="EV27" s="5"/>
      <c r="EW27" s="29">
        <f t="shared" ref="EW27:EW36" si="43">AW27</f>
        <v>0</v>
      </c>
      <c r="EX27" s="5"/>
      <c r="EY27" s="29">
        <f t="shared" ref="EY27:FC36" si="44">AY27-BA27</f>
        <v>0</v>
      </c>
      <c r="EZ27" s="5"/>
      <c r="FA27" s="29">
        <f t="shared" si="44"/>
        <v>0</v>
      </c>
      <c r="FB27" s="5"/>
      <c r="FC27" s="29">
        <f t="shared" si="44"/>
        <v>0</v>
      </c>
      <c r="FD27" s="5"/>
      <c r="FE27" s="29">
        <f t="shared" ref="FE27:FE36" si="45">BE27</f>
        <v>13414.63</v>
      </c>
      <c r="FF27" s="5"/>
      <c r="FG27" s="29">
        <v>3808.9499999999816</v>
      </c>
      <c r="FH27" s="5"/>
      <c r="FI27" s="29">
        <f t="shared" ref="FI27:FK36" si="46">BI27-BK27</f>
        <v>0</v>
      </c>
      <c r="FJ27" s="5"/>
      <c r="FK27" s="29">
        <f t="shared" si="46"/>
        <v>0</v>
      </c>
      <c r="FL27" s="5"/>
      <c r="FM27" s="29">
        <f t="shared" ref="FM27:FM36" si="47">BM27-BO27</f>
        <v>10500.000000000058</v>
      </c>
      <c r="FN27" s="5"/>
      <c r="FO27" s="29">
        <f t="shared" ref="FO27:FO36" si="48">BO27-BQ27</f>
        <v>0</v>
      </c>
      <c r="FP27" s="5"/>
      <c r="FQ27" s="29">
        <f t="shared" ref="FQ27:FQ36" si="49">BQ27-BS27</f>
        <v>25690.969999999972</v>
      </c>
      <c r="FR27" s="5"/>
      <c r="FS27" s="29">
        <f t="shared" ref="FS27:FS36" si="50">BS27</f>
        <v>477672.08</v>
      </c>
      <c r="FT27" s="5"/>
      <c r="FU27" s="29">
        <f t="shared" ref="FU27:FY36" si="51">BU27-BW27</f>
        <v>38397.400000000009</v>
      </c>
      <c r="FV27" s="5"/>
      <c r="FW27" s="29">
        <f t="shared" si="51"/>
        <v>720</v>
      </c>
      <c r="FX27" s="5"/>
      <c r="FY27" s="29">
        <f t="shared" si="51"/>
        <v>-20000</v>
      </c>
      <c r="FZ27" s="5"/>
      <c r="GA27" s="29">
        <f t="shared" ref="GA27:GA36" si="52">CA27</f>
        <v>81.3</v>
      </c>
      <c r="GB27" s="5"/>
      <c r="GC27" s="29">
        <f t="shared" ref="GC27:GG36" si="53">CC27-CE27</f>
        <v>136530.29</v>
      </c>
      <c r="GD27" s="5"/>
      <c r="GE27" s="29">
        <f t="shared" si="53"/>
        <v>0</v>
      </c>
      <c r="GF27" s="5"/>
      <c r="GG27" s="29">
        <f t="shared" si="53"/>
        <v>0</v>
      </c>
      <c r="GH27" s="5"/>
      <c r="GI27" s="29">
        <f t="shared" ref="GI27:GI36" si="54">CI27</f>
        <v>0</v>
      </c>
      <c r="GJ27" s="5"/>
      <c r="GK27" s="29">
        <f>CK27-CM27</f>
        <v>-58694.840000000011</v>
      </c>
      <c r="GL27" s="5"/>
      <c r="GM27" s="29">
        <f>CM27-CO27</f>
        <v>-2423.859999999986</v>
      </c>
      <c r="GN27" s="5"/>
      <c r="GO27" s="29">
        <f>CO27-CQ27</f>
        <v>80487.81</v>
      </c>
      <c r="GP27" s="5"/>
      <c r="GQ27" s="29">
        <f>CQ27</f>
        <v>103350</v>
      </c>
      <c r="GR27" s="5"/>
      <c r="GS27" s="29">
        <f>CS27-CU27</f>
        <v>0</v>
      </c>
      <c r="GT27" s="5"/>
      <c r="GU27" s="29">
        <f>CU27-CW27</f>
        <v>0</v>
      </c>
    </row>
    <row r="28" spans="1:203">
      <c r="A28" s="38" t="s">
        <v>106</v>
      </c>
      <c r="C28" s="29"/>
      <c r="E28" s="29"/>
      <c r="G28" s="29"/>
      <c r="I28" s="29">
        <v>0</v>
      </c>
      <c r="K28" s="29">
        <v>0</v>
      </c>
      <c r="M28" s="29">
        <v>0</v>
      </c>
      <c r="O28" s="29">
        <v>0</v>
      </c>
      <c r="Q28" s="29">
        <v>0</v>
      </c>
      <c r="S28" s="29">
        <v>0</v>
      </c>
      <c r="U28" s="29">
        <v>0</v>
      </c>
      <c r="W28" s="29">
        <v>0</v>
      </c>
      <c r="Y28" s="29">
        <v>0</v>
      </c>
      <c r="AA28" s="29">
        <v>0</v>
      </c>
      <c r="AC28" s="29">
        <v>0</v>
      </c>
      <c r="AE28" s="29">
        <v>0</v>
      </c>
      <c r="AG28" s="29">
        <v>0</v>
      </c>
      <c r="AI28" s="29">
        <v>0</v>
      </c>
      <c r="AK28" s="29">
        <v>0</v>
      </c>
      <c r="AM28" s="29">
        <v>0</v>
      </c>
      <c r="AO28" s="29">
        <v>0</v>
      </c>
      <c r="AQ28" s="29">
        <v>0</v>
      </c>
      <c r="AS28" s="29">
        <v>0</v>
      </c>
      <c r="AU28" s="29">
        <v>0</v>
      </c>
      <c r="AW28" s="29">
        <v>0</v>
      </c>
      <c r="AY28" s="29">
        <v>0</v>
      </c>
      <c r="BA28" s="29">
        <v>0</v>
      </c>
      <c r="BC28" s="29">
        <v>0</v>
      </c>
      <c r="BE28" s="29">
        <v>0</v>
      </c>
      <c r="BG28" s="29">
        <v>0</v>
      </c>
      <c r="BI28" s="29">
        <v>0</v>
      </c>
      <c r="BK28" s="29">
        <v>0</v>
      </c>
      <c r="BM28" s="29">
        <v>0</v>
      </c>
      <c r="BO28" s="29">
        <v>0</v>
      </c>
      <c r="BQ28" s="29">
        <v>0</v>
      </c>
      <c r="BS28" s="29">
        <v>0</v>
      </c>
      <c r="BU28" s="29">
        <v>0</v>
      </c>
      <c r="BW28" s="29">
        <v>0</v>
      </c>
      <c r="BY28" s="29">
        <v>0</v>
      </c>
      <c r="CA28" s="29">
        <v>0</v>
      </c>
      <c r="CC28" s="29">
        <v>0</v>
      </c>
      <c r="CE28" s="29">
        <v>0</v>
      </c>
      <c r="CG28" s="29">
        <v>0</v>
      </c>
      <c r="CI28" s="29">
        <v>0</v>
      </c>
      <c r="CK28" s="29">
        <v>0</v>
      </c>
      <c r="CM28" s="29">
        <v>0</v>
      </c>
      <c r="CO28" s="29">
        <v>0</v>
      </c>
      <c r="CQ28" s="29">
        <v>0</v>
      </c>
      <c r="CS28" s="29">
        <v>0</v>
      </c>
      <c r="CU28" s="29">
        <v>0</v>
      </c>
      <c r="CW28" s="29">
        <v>0</v>
      </c>
      <c r="CY28" s="29">
        <v>0</v>
      </c>
      <c r="DA28" s="29">
        <v>0</v>
      </c>
      <c r="DC28" s="29"/>
      <c r="DD28" s="5"/>
      <c r="DE28" s="29"/>
      <c r="DF28" s="5"/>
      <c r="DG28" s="29"/>
      <c r="DH28" s="5"/>
      <c r="DI28" s="29">
        <f t="shared" si="31"/>
        <v>0</v>
      </c>
      <c r="DJ28" s="5"/>
      <c r="DK28" s="29">
        <f t="shared" si="32"/>
        <v>0</v>
      </c>
      <c r="DL28" s="5"/>
      <c r="DM28" s="29">
        <f t="shared" si="32"/>
        <v>0</v>
      </c>
      <c r="DN28" s="5"/>
      <c r="DO28" s="29">
        <f t="shared" si="32"/>
        <v>0</v>
      </c>
      <c r="DP28" s="5"/>
      <c r="DQ28" s="29">
        <f t="shared" si="33"/>
        <v>0</v>
      </c>
      <c r="DR28" s="5"/>
      <c r="DS28" s="29">
        <f t="shared" si="34"/>
        <v>0</v>
      </c>
      <c r="DT28" s="5"/>
      <c r="DU28" s="29">
        <f t="shared" si="34"/>
        <v>0</v>
      </c>
      <c r="DV28" s="5"/>
      <c r="DW28" s="29">
        <f t="shared" si="34"/>
        <v>0</v>
      </c>
      <c r="DX28" s="5"/>
      <c r="DY28" s="29">
        <f t="shared" si="35"/>
        <v>0</v>
      </c>
      <c r="DZ28" s="5"/>
      <c r="EA28" s="29">
        <f t="shared" si="36"/>
        <v>0</v>
      </c>
      <c r="EB28" s="5"/>
      <c r="EC28" s="29">
        <f t="shared" si="36"/>
        <v>0</v>
      </c>
      <c r="ED28" s="5"/>
      <c r="EE28" s="29">
        <f t="shared" si="36"/>
        <v>0</v>
      </c>
      <c r="EF28" s="5"/>
      <c r="EG28" s="29">
        <f t="shared" si="37"/>
        <v>0</v>
      </c>
      <c r="EH28" s="5"/>
      <c r="EI28" s="29">
        <f t="shared" si="38"/>
        <v>0</v>
      </c>
      <c r="EJ28" s="5"/>
      <c r="EK28" s="29">
        <f t="shared" si="38"/>
        <v>0</v>
      </c>
      <c r="EL28" s="5"/>
      <c r="EM28" s="29">
        <f t="shared" si="38"/>
        <v>0</v>
      </c>
      <c r="EN28" s="5"/>
      <c r="EO28" s="29">
        <f t="shared" si="39"/>
        <v>0</v>
      </c>
      <c r="EP28" s="5"/>
      <c r="EQ28" s="29">
        <f t="shared" si="40"/>
        <v>0</v>
      </c>
      <c r="ER28" s="5"/>
      <c r="ES28" s="29">
        <f t="shared" si="41"/>
        <v>0</v>
      </c>
      <c r="ET28" s="5"/>
      <c r="EU28" s="29">
        <f t="shared" si="42"/>
        <v>0</v>
      </c>
      <c r="EV28" s="5"/>
      <c r="EW28" s="29">
        <f t="shared" si="43"/>
        <v>0</v>
      </c>
      <c r="EX28" s="5"/>
      <c r="EY28" s="29">
        <f t="shared" si="44"/>
        <v>0</v>
      </c>
      <c r="EZ28" s="5"/>
      <c r="FA28" s="29">
        <f t="shared" si="44"/>
        <v>0</v>
      </c>
      <c r="FB28" s="5"/>
      <c r="FC28" s="29">
        <f t="shared" si="44"/>
        <v>0</v>
      </c>
      <c r="FD28" s="5"/>
      <c r="FE28" s="29">
        <f t="shared" si="45"/>
        <v>0</v>
      </c>
      <c r="FF28" s="5"/>
      <c r="FG28" s="29">
        <v>0</v>
      </c>
      <c r="FH28" s="5"/>
      <c r="FI28" s="29">
        <f t="shared" si="46"/>
        <v>0</v>
      </c>
      <c r="FJ28" s="5"/>
      <c r="FK28" s="29">
        <f t="shared" si="46"/>
        <v>0</v>
      </c>
      <c r="FL28" s="5"/>
      <c r="FM28" s="29">
        <f t="shared" si="47"/>
        <v>0</v>
      </c>
      <c r="FN28" s="5"/>
      <c r="FO28" s="29">
        <f t="shared" si="48"/>
        <v>0</v>
      </c>
      <c r="FP28" s="5"/>
      <c r="FQ28" s="29">
        <f t="shared" si="49"/>
        <v>0</v>
      </c>
      <c r="FR28" s="5"/>
      <c r="FS28" s="29">
        <f t="shared" si="50"/>
        <v>0</v>
      </c>
      <c r="FT28" s="5"/>
      <c r="FU28" s="29">
        <f t="shared" si="51"/>
        <v>0</v>
      </c>
      <c r="FV28" s="5"/>
      <c r="FW28" s="29">
        <f t="shared" si="51"/>
        <v>0</v>
      </c>
      <c r="FX28" s="5"/>
      <c r="FY28" s="29">
        <f t="shared" si="51"/>
        <v>0</v>
      </c>
      <c r="FZ28" s="5"/>
      <c r="GA28" s="29">
        <f t="shared" si="52"/>
        <v>0</v>
      </c>
      <c r="GB28" s="5"/>
      <c r="GC28" s="29">
        <f t="shared" si="53"/>
        <v>0</v>
      </c>
      <c r="GD28" s="5"/>
      <c r="GE28" s="29">
        <f t="shared" si="53"/>
        <v>0</v>
      </c>
      <c r="GF28" s="5"/>
      <c r="GG28" s="29">
        <f t="shared" si="53"/>
        <v>0</v>
      </c>
      <c r="GH28" s="5"/>
      <c r="GI28" s="29">
        <f t="shared" si="54"/>
        <v>0</v>
      </c>
      <c r="GJ28" s="5"/>
      <c r="GK28" s="29">
        <f t="shared" ref="GK28:GM36" si="55">CK28-CM28</f>
        <v>0</v>
      </c>
      <c r="GL28" s="5"/>
      <c r="GM28" s="29">
        <f t="shared" si="55"/>
        <v>0</v>
      </c>
      <c r="GN28" s="5"/>
      <c r="GO28" s="29">
        <f t="shared" ref="GO28:GO36" si="56">CO28-CQ28</f>
        <v>0</v>
      </c>
      <c r="GP28" s="5"/>
      <c r="GQ28" s="29">
        <f t="shared" ref="GQ28:GQ36" si="57">CQ28</f>
        <v>0</v>
      </c>
      <c r="GR28" s="5"/>
      <c r="GS28" s="29">
        <f t="shared" ref="GS28:GU36" si="58">CS28-CU28</f>
        <v>0</v>
      </c>
      <c r="GT28" s="5"/>
      <c r="GU28" s="29">
        <f t="shared" si="58"/>
        <v>0</v>
      </c>
    </row>
    <row r="29" spans="1:203" hidden="1">
      <c r="A29" s="38" t="s">
        <v>107</v>
      </c>
      <c r="C29" s="29"/>
      <c r="E29" s="29"/>
      <c r="G29" s="29"/>
      <c r="I29" s="29"/>
      <c r="K29" s="29"/>
      <c r="M29" s="29"/>
      <c r="O29" s="29"/>
      <c r="Q29" s="29"/>
      <c r="S29" s="29"/>
      <c r="U29" s="29"/>
      <c r="W29" s="29"/>
      <c r="Y29" s="29"/>
      <c r="AA29" s="29">
        <v>672813.57000000007</v>
      </c>
      <c r="AC29" s="29">
        <v>5032.3</v>
      </c>
      <c r="AE29" s="29">
        <v>4954.74</v>
      </c>
      <c r="AG29" s="29">
        <v>4954.74</v>
      </c>
      <c r="AI29" s="29">
        <f>SUM(AI30:AI34)</f>
        <v>1751208.32</v>
      </c>
      <c r="AK29" s="29">
        <v>1745762.59</v>
      </c>
      <c r="AM29" s="29">
        <v>1740723.3800000001</v>
      </c>
      <c r="AO29" s="29">
        <v>1585030.87</v>
      </c>
      <c r="AQ29" s="29">
        <f>SUM(AQ30:AQ34)</f>
        <v>138.20999999999998</v>
      </c>
      <c r="AS29" s="29">
        <v>183987.41999999998</v>
      </c>
      <c r="AU29" s="29">
        <v>203.29999999999998</v>
      </c>
      <c r="AW29" s="29">
        <v>0</v>
      </c>
      <c r="AY29" s="29">
        <v>505.47</v>
      </c>
      <c r="BA29" s="29">
        <v>58482.85500000004</v>
      </c>
      <c r="BC29" s="29">
        <v>58482.855000000025</v>
      </c>
      <c r="BE29" s="29">
        <v>108.15</v>
      </c>
      <c r="BG29" s="29">
        <v>35.69</v>
      </c>
      <c r="BI29" s="29">
        <v>28</v>
      </c>
      <c r="BK29" s="29">
        <v>27.98</v>
      </c>
      <c r="BM29" s="103">
        <v>27.98</v>
      </c>
      <c r="BO29" s="29">
        <v>13375.254999999906</v>
      </c>
      <c r="BQ29" s="103">
        <f>SUM(BQ30:BQ34)</f>
        <v>8681.5300000000061</v>
      </c>
      <c r="BS29" s="103">
        <f>SUM(BS30:BS34)</f>
        <v>0</v>
      </c>
      <c r="BU29" s="103">
        <f>SUM(BU30:BU34)</f>
        <v>5.76</v>
      </c>
      <c r="BW29" s="103">
        <f>SUM(BW30:BW34)</f>
        <v>4.6500000000000004</v>
      </c>
      <c r="BY29" s="103">
        <v>4.6500000000000004</v>
      </c>
      <c r="CA29" s="103">
        <f>SUM(CA30:CA34)</f>
        <v>0</v>
      </c>
      <c r="CC29" s="103">
        <f>SUM(CC30:CC34)</f>
        <v>39.64</v>
      </c>
      <c r="CE29" s="103">
        <f>SUM(CE30:CE34)</f>
        <v>8.34</v>
      </c>
      <c r="CG29" s="103">
        <v>7.4</v>
      </c>
      <c r="CI29" s="103">
        <v>0</v>
      </c>
      <c r="CK29" s="103">
        <v>0</v>
      </c>
      <c r="CM29" s="29">
        <v>0</v>
      </c>
      <c r="CO29" s="29">
        <v>0</v>
      </c>
      <c r="CQ29" s="29">
        <v>0</v>
      </c>
      <c r="CS29" s="29">
        <v>20352.109999999986</v>
      </c>
      <c r="CU29" s="29">
        <v>500000</v>
      </c>
      <c r="CW29" s="29">
        <v>0</v>
      </c>
      <c r="CY29" s="29">
        <f>SUM(CY30:CY34)</f>
        <v>15570.419999999984</v>
      </c>
      <c r="DA29" s="29">
        <f>SUM(DA30:DA34)</f>
        <v>350962.16</v>
      </c>
      <c r="DC29" s="29"/>
      <c r="DD29" s="5"/>
      <c r="DE29" s="29"/>
      <c r="DF29" s="5"/>
      <c r="DG29" s="29"/>
      <c r="DH29" s="5"/>
      <c r="DI29" s="29"/>
      <c r="DJ29" s="5"/>
      <c r="DK29" s="29">
        <f t="shared" si="32"/>
        <v>0</v>
      </c>
      <c r="DL29" s="5"/>
      <c r="DM29" s="29">
        <f t="shared" si="32"/>
        <v>0</v>
      </c>
      <c r="DN29" s="5"/>
      <c r="DO29" s="29">
        <f t="shared" si="32"/>
        <v>0</v>
      </c>
      <c r="DP29" s="5"/>
      <c r="DQ29" s="29"/>
      <c r="DR29" s="5"/>
      <c r="DS29" s="29">
        <f t="shared" si="34"/>
        <v>0</v>
      </c>
      <c r="DT29" s="5"/>
      <c r="DU29" s="29">
        <f t="shared" si="34"/>
        <v>0</v>
      </c>
      <c r="DV29" s="5"/>
      <c r="DW29" s="29">
        <f t="shared" si="34"/>
        <v>0</v>
      </c>
      <c r="DX29" s="5"/>
      <c r="DY29" s="29">
        <f t="shared" si="35"/>
        <v>0</v>
      </c>
      <c r="DZ29" s="5"/>
      <c r="EA29" s="29">
        <f t="shared" si="36"/>
        <v>667781.27</v>
      </c>
      <c r="EB29" s="5"/>
      <c r="EC29" s="29">
        <f t="shared" si="36"/>
        <v>77.5600000000004</v>
      </c>
      <c r="ED29" s="5"/>
      <c r="EE29" s="29">
        <f t="shared" si="36"/>
        <v>0</v>
      </c>
      <c r="EF29" s="5"/>
      <c r="EG29" s="29">
        <f t="shared" si="37"/>
        <v>4954.74</v>
      </c>
      <c r="EH29" s="5"/>
      <c r="EI29" s="29">
        <f t="shared" si="38"/>
        <v>5445.7299999999814</v>
      </c>
      <c r="EJ29" s="5"/>
      <c r="EK29" s="29">
        <f t="shared" si="38"/>
        <v>5039.2099999999627</v>
      </c>
      <c r="EL29" s="5"/>
      <c r="EM29" s="29">
        <f t="shared" si="38"/>
        <v>155692.51</v>
      </c>
      <c r="EN29" s="5"/>
      <c r="EO29" s="29">
        <f t="shared" si="39"/>
        <v>1585030.87</v>
      </c>
      <c r="EP29" s="5"/>
      <c r="EQ29" s="29">
        <f t="shared" si="40"/>
        <v>-183849.21</v>
      </c>
      <c r="ER29" s="5"/>
      <c r="ES29" s="29">
        <f t="shared" si="41"/>
        <v>183784.12</v>
      </c>
      <c r="ET29" s="5"/>
      <c r="EU29" s="29">
        <f t="shared" si="42"/>
        <v>203.29999999999998</v>
      </c>
      <c r="EV29" s="5"/>
      <c r="EW29" s="29">
        <f t="shared" si="43"/>
        <v>0</v>
      </c>
      <c r="EX29" s="5"/>
      <c r="EY29" s="29">
        <f t="shared" si="44"/>
        <v>-57977.385000000038</v>
      </c>
      <c r="EZ29" s="5"/>
      <c r="FA29" s="29">
        <f t="shared" si="44"/>
        <v>0</v>
      </c>
      <c r="FB29" s="5"/>
      <c r="FC29" s="29">
        <f t="shared" si="44"/>
        <v>58374.705000000024</v>
      </c>
      <c r="FD29" s="5"/>
      <c r="FE29" s="29">
        <f t="shared" si="45"/>
        <v>108.15</v>
      </c>
      <c r="FF29" s="5"/>
      <c r="FG29" s="29">
        <v>7.6899999999999986</v>
      </c>
      <c r="FH29" s="5"/>
      <c r="FI29" s="29">
        <f t="shared" si="46"/>
        <v>1.9999999999999574E-2</v>
      </c>
      <c r="FJ29" s="5"/>
      <c r="FK29" s="29">
        <f t="shared" si="46"/>
        <v>0</v>
      </c>
      <c r="FL29" s="5"/>
      <c r="FM29" s="29">
        <f t="shared" si="47"/>
        <v>-13347.274999999907</v>
      </c>
      <c r="FN29" s="5"/>
      <c r="FO29" s="29">
        <f t="shared" si="48"/>
        <v>4693.7249999999003</v>
      </c>
      <c r="FP29" s="5"/>
      <c r="FQ29" s="29">
        <f t="shared" si="49"/>
        <v>8681.5300000000061</v>
      </c>
      <c r="FR29" s="5"/>
      <c r="FS29" s="29">
        <f t="shared" si="50"/>
        <v>0</v>
      </c>
      <c r="FT29" s="5"/>
      <c r="FU29" s="29">
        <f t="shared" si="51"/>
        <v>1.1099999999999994</v>
      </c>
      <c r="FV29" s="5"/>
      <c r="FW29" s="29">
        <f t="shared" si="51"/>
        <v>0</v>
      </c>
      <c r="FX29" s="5"/>
      <c r="FY29" s="29">
        <f t="shared" si="51"/>
        <v>4.6500000000000004</v>
      </c>
      <c r="FZ29" s="5"/>
      <c r="GA29" s="29">
        <f t="shared" si="52"/>
        <v>0</v>
      </c>
      <c r="GB29" s="5"/>
      <c r="GC29" s="29">
        <f t="shared" si="53"/>
        <v>31.3</v>
      </c>
      <c r="GD29" s="5"/>
      <c r="GE29" s="29">
        <f t="shared" si="53"/>
        <v>0.9399999999999995</v>
      </c>
      <c r="GF29" s="5"/>
      <c r="GG29" s="29">
        <f t="shared" si="53"/>
        <v>7.4</v>
      </c>
      <c r="GH29" s="5"/>
      <c r="GI29" s="29">
        <f t="shared" si="54"/>
        <v>0</v>
      </c>
      <c r="GJ29" s="5"/>
      <c r="GK29" s="29">
        <f t="shared" si="55"/>
        <v>0</v>
      </c>
      <c r="GL29" s="5"/>
      <c r="GM29" s="29">
        <f t="shared" si="55"/>
        <v>0</v>
      </c>
      <c r="GN29" s="5"/>
      <c r="GO29" s="29">
        <f t="shared" si="56"/>
        <v>0</v>
      </c>
      <c r="GP29" s="5"/>
      <c r="GQ29" s="29">
        <f t="shared" si="57"/>
        <v>0</v>
      </c>
      <c r="GR29" s="5"/>
      <c r="GS29" s="29">
        <f t="shared" si="58"/>
        <v>-479647.89</v>
      </c>
      <c r="GT29" s="5"/>
      <c r="GU29" s="29">
        <f t="shared" si="58"/>
        <v>500000</v>
      </c>
    </row>
    <row r="30" spans="1:203">
      <c r="A30" s="38" t="s">
        <v>108</v>
      </c>
      <c r="C30" s="29"/>
      <c r="E30" s="29"/>
      <c r="G30" s="29"/>
      <c r="I30" s="29">
        <v>0</v>
      </c>
      <c r="K30" s="29">
        <v>0</v>
      </c>
      <c r="M30" s="29">
        <v>0</v>
      </c>
      <c r="O30" s="29">
        <v>0</v>
      </c>
      <c r="Q30" s="29">
        <v>0</v>
      </c>
      <c r="S30" s="29">
        <v>71300</v>
      </c>
      <c r="U30" s="29">
        <v>0</v>
      </c>
      <c r="W30" s="29">
        <v>0</v>
      </c>
      <c r="Y30" s="29">
        <v>0</v>
      </c>
      <c r="AA30" s="29">
        <v>0</v>
      </c>
      <c r="AC30" s="29">
        <v>0</v>
      </c>
      <c r="AE30" s="29">
        <v>0</v>
      </c>
      <c r="AG30" s="29">
        <v>0</v>
      </c>
      <c r="AI30" s="29">
        <v>0</v>
      </c>
      <c r="AK30" s="29">
        <v>0</v>
      </c>
      <c r="AM30" s="29">
        <v>0</v>
      </c>
      <c r="AO30" s="29">
        <v>0</v>
      </c>
      <c r="AQ30" s="29">
        <v>0</v>
      </c>
      <c r="AS30" s="29">
        <v>0</v>
      </c>
      <c r="AU30" s="29">
        <v>0</v>
      </c>
      <c r="AW30" s="29">
        <v>0</v>
      </c>
      <c r="AY30" s="29">
        <v>0</v>
      </c>
      <c r="BA30" s="29">
        <v>0</v>
      </c>
      <c r="BC30" s="29">
        <v>0</v>
      </c>
      <c r="BE30" s="29">
        <v>0</v>
      </c>
      <c r="BG30" s="29">
        <v>0</v>
      </c>
      <c r="BI30" s="29">
        <v>0</v>
      </c>
      <c r="BK30" s="29">
        <v>0</v>
      </c>
      <c r="BM30" s="29">
        <v>0</v>
      </c>
      <c r="BO30" s="29">
        <v>0</v>
      </c>
      <c r="BQ30" s="29">
        <v>0</v>
      </c>
      <c r="BS30" s="29">
        <v>0</v>
      </c>
      <c r="BU30" s="29">
        <v>0</v>
      </c>
      <c r="BW30" s="29">
        <v>0</v>
      </c>
      <c r="BY30" s="29">
        <v>0</v>
      </c>
      <c r="CA30" s="29">
        <v>0</v>
      </c>
      <c r="CC30" s="29">
        <v>0</v>
      </c>
      <c r="CE30" s="29">
        <v>0</v>
      </c>
      <c r="CG30" s="29">
        <v>0</v>
      </c>
      <c r="CI30" s="29">
        <v>0</v>
      </c>
      <c r="CK30" s="29">
        <v>0</v>
      </c>
      <c r="CM30" s="29">
        <v>0</v>
      </c>
      <c r="CO30" s="29">
        <v>0</v>
      </c>
      <c r="CQ30" s="29">
        <v>0</v>
      </c>
      <c r="CS30" s="29">
        <v>0</v>
      </c>
      <c r="CU30" s="29">
        <v>500000</v>
      </c>
      <c r="CW30" s="29">
        <v>0</v>
      </c>
      <c r="CY30" s="29">
        <v>0</v>
      </c>
      <c r="DA30" s="29">
        <v>0</v>
      </c>
      <c r="DC30" s="29"/>
      <c r="DD30" s="5"/>
      <c r="DE30" s="29"/>
      <c r="DF30" s="5"/>
      <c r="DG30" s="29"/>
      <c r="DH30" s="5"/>
      <c r="DI30" s="29">
        <f t="shared" ref="DI30:DI36" si="59">I30</f>
        <v>0</v>
      </c>
      <c r="DJ30" s="5"/>
      <c r="DK30" s="29">
        <f t="shared" si="32"/>
        <v>0</v>
      </c>
      <c r="DL30" s="5"/>
      <c r="DM30" s="29">
        <f t="shared" si="32"/>
        <v>0</v>
      </c>
      <c r="DN30" s="5"/>
      <c r="DO30" s="29">
        <f t="shared" si="32"/>
        <v>0</v>
      </c>
      <c r="DP30" s="5"/>
      <c r="DQ30" s="29">
        <f t="shared" ref="DQ30:DQ36" si="60">Q30</f>
        <v>0</v>
      </c>
      <c r="DR30" s="5"/>
      <c r="DS30" s="29">
        <f t="shared" si="34"/>
        <v>71300</v>
      </c>
      <c r="DT30" s="5"/>
      <c r="DU30" s="29">
        <f t="shared" si="34"/>
        <v>0</v>
      </c>
      <c r="DV30" s="5"/>
      <c r="DW30" s="29">
        <f t="shared" si="34"/>
        <v>0</v>
      </c>
      <c r="DX30" s="5"/>
      <c r="DY30" s="29">
        <f t="shared" si="35"/>
        <v>0</v>
      </c>
      <c r="DZ30" s="5"/>
      <c r="EA30" s="29">
        <f t="shared" si="36"/>
        <v>0</v>
      </c>
      <c r="EB30" s="5"/>
      <c r="EC30" s="29">
        <f t="shared" si="36"/>
        <v>0</v>
      </c>
      <c r="ED30" s="5"/>
      <c r="EE30" s="29">
        <f t="shared" si="36"/>
        <v>0</v>
      </c>
      <c r="EF30" s="5"/>
      <c r="EG30" s="29">
        <f t="shared" si="37"/>
        <v>0</v>
      </c>
      <c r="EH30" s="5"/>
      <c r="EI30" s="29">
        <f t="shared" si="38"/>
        <v>0</v>
      </c>
      <c r="EJ30" s="5"/>
      <c r="EK30" s="29">
        <f t="shared" si="38"/>
        <v>0</v>
      </c>
      <c r="EL30" s="5"/>
      <c r="EM30" s="29">
        <f t="shared" si="38"/>
        <v>0</v>
      </c>
      <c r="EN30" s="5"/>
      <c r="EO30" s="29">
        <f t="shared" si="39"/>
        <v>0</v>
      </c>
      <c r="EP30" s="5"/>
      <c r="EQ30" s="29">
        <f t="shared" si="40"/>
        <v>0</v>
      </c>
      <c r="ER30" s="5"/>
      <c r="ES30" s="29">
        <f t="shared" si="41"/>
        <v>0</v>
      </c>
      <c r="ET30" s="5"/>
      <c r="EU30" s="29">
        <f t="shared" si="42"/>
        <v>0</v>
      </c>
      <c r="EV30" s="5"/>
      <c r="EW30" s="29">
        <f t="shared" si="43"/>
        <v>0</v>
      </c>
      <c r="EX30" s="5"/>
      <c r="EY30" s="29">
        <f t="shared" si="44"/>
        <v>0</v>
      </c>
      <c r="EZ30" s="5"/>
      <c r="FA30" s="29">
        <f t="shared" si="44"/>
        <v>0</v>
      </c>
      <c r="FB30" s="5"/>
      <c r="FC30" s="29">
        <f t="shared" si="44"/>
        <v>0</v>
      </c>
      <c r="FD30" s="5"/>
      <c r="FE30" s="29">
        <f t="shared" si="45"/>
        <v>0</v>
      </c>
      <c r="FF30" s="5"/>
      <c r="FG30" s="29">
        <v>0</v>
      </c>
      <c r="FH30" s="5"/>
      <c r="FI30" s="29">
        <f t="shared" si="46"/>
        <v>0</v>
      </c>
      <c r="FJ30" s="5"/>
      <c r="FK30" s="29">
        <f t="shared" si="46"/>
        <v>0</v>
      </c>
      <c r="FL30" s="5"/>
      <c r="FM30" s="29">
        <f t="shared" si="47"/>
        <v>0</v>
      </c>
      <c r="FN30" s="5"/>
      <c r="FO30" s="29">
        <f t="shared" si="48"/>
        <v>0</v>
      </c>
      <c r="FP30" s="5"/>
      <c r="FQ30" s="29">
        <f t="shared" si="49"/>
        <v>0</v>
      </c>
      <c r="FR30" s="5"/>
      <c r="FS30" s="29">
        <f t="shared" si="50"/>
        <v>0</v>
      </c>
      <c r="FT30" s="5"/>
      <c r="FU30" s="29">
        <f t="shared" si="51"/>
        <v>0</v>
      </c>
      <c r="FV30" s="5"/>
      <c r="FW30" s="29">
        <f t="shared" si="51"/>
        <v>0</v>
      </c>
      <c r="FX30" s="5"/>
      <c r="FY30" s="29">
        <f t="shared" si="51"/>
        <v>0</v>
      </c>
      <c r="FZ30" s="5"/>
      <c r="GA30" s="29">
        <f t="shared" si="52"/>
        <v>0</v>
      </c>
      <c r="GB30" s="5"/>
      <c r="GC30" s="29">
        <f t="shared" si="53"/>
        <v>0</v>
      </c>
      <c r="GD30" s="5"/>
      <c r="GE30" s="29">
        <f t="shared" si="53"/>
        <v>0</v>
      </c>
      <c r="GF30" s="5"/>
      <c r="GG30" s="29">
        <f t="shared" si="53"/>
        <v>0</v>
      </c>
      <c r="GH30" s="5"/>
      <c r="GI30" s="29">
        <f t="shared" si="54"/>
        <v>0</v>
      </c>
      <c r="GJ30" s="5"/>
      <c r="GK30" s="29">
        <f t="shared" si="55"/>
        <v>0</v>
      </c>
      <c r="GL30" s="5"/>
      <c r="GM30" s="29">
        <f t="shared" si="55"/>
        <v>0</v>
      </c>
      <c r="GN30" s="5"/>
      <c r="GO30" s="29">
        <f t="shared" si="56"/>
        <v>0</v>
      </c>
      <c r="GP30" s="5"/>
      <c r="GQ30" s="29">
        <f t="shared" si="57"/>
        <v>0</v>
      </c>
      <c r="GR30" s="5"/>
      <c r="GS30" s="29">
        <f t="shared" si="58"/>
        <v>-500000</v>
      </c>
      <c r="GT30" s="5"/>
      <c r="GU30" s="29">
        <f t="shared" si="58"/>
        <v>500000</v>
      </c>
    </row>
    <row r="31" spans="1:203">
      <c r="A31" s="38" t="s">
        <v>306</v>
      </c>
      <c r="C31" s="29"/>
      <c r="E31" s="29"/>
      <c r="G31" s="29"/>
      <c r="I31" s="29">
        <v>0</v>
      </c>
      <c r="K31" s="29">
        <v>0</v>
      </c>
      <c r="M31" s="29">
        <v>0</v>
      </c>
      <c r="O31" s="29">
        <v>0</v>
      </c>
      <c r="Q31" s="29">
        <v>0</v>
      </c>
      <c r="S31" s="29">
        <v>0</v>
      </c>
      <c r="U31" s="29">
        <v>0</v>
      </c>
      <c r="W31" s="29">
        <v>0</v>
      </c>
      <c r="Y31" s="29">
        <v>0</v>
      </c>
      <c r="AA31" s="29">
        <v>0</v>
      </c>
      <c r="AC31" s="29">
        <v>0</v>
      </c>
      <c r="AE31" s="29">
        <v>0</v>
      </c>
      <c r="AG31" s="29">
        <v>0</v>
      </c>
      <c r="AI31" s="29">
        <v>0</v>
      </c>
      <c r="AK31" s="29">
        <v>0</v>
      </c>
      <c r="AM31" s="29">
        <v>0</v>
      </c>
      <c r="AO31" s="29">
        <v>0</v>
      </c>
      <c r="AQ31" s="29">
        <v>0</v>
      </c>
      <c r="AS31" s="29">
        <v>0</v>
      </c>
      <c r="AU31" s="29">
        <v>0</v>
      </c>
      <c r="AW31" s="29">
        <v>0</v>
      </c>
      <c r="AY31" s="29">
        <v>0</v>
      </c>
      <c r="BA31" s="29">
        <v>0</v>
      </c>
      <c r="BC31" s="29">
        <v>0</v>
      </c>
      <c r="BE31" s="29">
        <v>0</v>
      </c>
      <c r="BG31" s="29">
        <v>0</v>
      </c>
      <c r="BI31" s="29">
        <v>0</v>
      </c>
      <c r="BK31" s="29">
        <v>0</v>
      </c>
      <c r="BM31" s="29">
        <v>0</v>
      </c>
      <c r="BO31" s="29">
        <v>0</v>
      </c>
      <c r="BQ31" s="29">
        <v>0</v>
      </c>
      <c r="BS31" s="29">
        <v>0</v>
      </c>
      <c r="BU31" s="29">
        <v>0</v>
      </c>
      <c r="BW31" s="29">
        <v>0</v>
      </c>
      <c r="BY31" s="29">
        <v>0</v>
      </c>
      <c r="CA31" s="29">
        <v>0</v>
      </c>
      <c r="CC31" s="29">
        <v>0</v>
      </c>
      <c r="CE31" s="29">
        <v>0</v>
      </c>
      <c r="CG31" s="29">
        <v>0</v>
      </c>
      <c r="CI31" s="29">
        <v>0</v>
      </c>
      <c r="CK31" s="29">
        <v>0</v>
      </c>
      <c r="CM31" s="29">
        <v>0</v>
      </c>
      <c r="CO31" s="29">
        <v>0</v>
      </c>
      <c r="CQ31" s="29">
        <v>0</v>
      </c>
      <c r="CS31" s="29">
        <v>0</v>
      </c>
      <c r="CU31" s="29">
        <v>0</v>
      </c>
      <c r="CW31" s="29">
        <v>0</v>
      </c>
      <c r="CY31" s="29">
        <v>0</v>
      </c>
      <c r="DA31" s="29">
        <v>0</v>
      </c>
      <c r="DC31" s="29"/>
      <c r="DD31" s="5"/>
      <c r="DE31" s="29"/>
      <c r="DF31" s="5"/>
      <c r="DG31" s="29"/>
      <c r="DH31" s="5"/>
      <c r="DI31" s="29">
        <f t="shared" si="59"/>
        <v>0</v>
      </c>
      <c r="DJ31" s="5"/>
      <c r="DK31" s="29">
        <f t="shared" si="32"/>
        <v>0</v>
      </c>
      <c r="DL31" s="5"/>
      <c r="DM31" s="29">
        <f t="shared" si="32"/>
        <v>0</v>
      </c>
      <c r="DN31" s="5"/>
      <c r="DO31" s="29">
        <f t="shared" si="32"/>
        <v>0</v>
      </c>
      <c r="DP31" s="5"/>
      <c r="DQ31" s="29">
        <f t="shared" si="60"/>
        <v>0</v>
      </c>
      <c r="DR31" s="5"/>
      <c r="DS31" s="29">
        <f t="shared" si="34"/>
        <v>0</v>
      </c>
      <c r="DT31" s="5"/>
      <c r="DU31" s="29">
        <f t="shared" si="34"/>
        <v>0</v>
      </c>
      <c r="DV31" s="5"/>
      <c r="DW31" s="29">
        <f t="shared" si="34"/>
        <v>0</v>
      </c>
      <c r="DX31" s="5"/>
      <c r="DY31" s="29">
        <f t="shared" si="35"/>
        <v>0</v>
      </c>
      <c r="DZ31" s="5"/>
      <c r="EA31" s="29">
        <f t="shared" si="36"/>
        <v>0</v>
      </c>
      <c r="EB31" s="5"/>
      <c r="EC31" s="29">
        <f t="shared" si="36"/>
        <v>0</v>
      </c>
      <c r="ED31" s="5"/>
      <c r="EE31" s="29">
        <f t="shared" si="36"/>
        <v>0</v>
      </c>
      <c r="EF31" s="5"/>
      <c r="EG31" s="29">
        <f t="shared" si="37"/>
        <v>0</v>
      </c>
      <c r="EH31" s="5"/>
      <c r="EI31" s="29">
        <f t="shared" si="38"/>
        <v>0</v>
      </c>
      <c r="EJ31" s="5"/>
      <c r="EK31" s="29">
        <f t="shared" si="38"/>
        <v>0</v>
      </c>
      <c r="EL31" s="5"/>
      <c r="EM31" s="29">
        <f t="shared" si="38"/>
        <v>0</v>
      </c>
      <c r="EN31" s="5"/>
      <c r="EO31" s="29">
        <f t="shared" si="39"/>
        <v>0</v>
      </c>
      <c r="EP31" s="5"/>
      <c r="EQ31" s="29">
        <f t="shared" si="40"/>
        <v>0</v>
      </c>
      <c r="ER31" s="5"/>
      <c r="ES31" s="29">
        <f t="shared" si="41"/>
        <v>0</v>
      </c>
      <c r="ET31" s="5"/>
      <c r="EU31" s="29">
        <f t="shared" si="42"/>
        <v>0</v>
      </c>
      <c r="EV31" s="5"/>
      <c r="EW31" s="29">
        <f t="shared" si="43"/>
        <v>0</v>
      </c>
      <c r="EX31" s="5"/>
      <c r="EY31" s="29">
        <f t="shared" si="44"/>
        <v>0</v>
      </c>
      <c r="EZ31" s="5"/>
      <c r="FA31" s="29">
        <f t="shared" si="44"/>
        <v>0</v>
      </c>
      <c r="FB31" s="5"/>
      <c r="FC31" s="29">
        <f t="shared" si="44"/>
        <v>0</v>
      </c>
      <c r="FD31" s="5"/>
      <c r="FE31" s="29">
        <f t="shared" si="45"/>
        <v>0</v>
      </c>
      <c r="FF31" s="5"/>
      <c r="FG31" s="29">
        <v>0</v>
      </c>
      <c r="FH31" s="5"/>
      <c r="FI31" s="29">
        <f t="shared" si="46"/>
        <v>0</v>
      </c>
      <c r="FJ31" s="5"/>
      <c r="FK31" s="29">
        <f t="shared" si="46"/>
        <v>0</v>
      </c>
      <c r="FL31" s="5"/>
      <c r="FM31" s="29">
        <f t="shared" si="47"/>
        <v>0</v>
      </c>
      <c r="FN31" s="5"/>
      <c r="FO31" s="29">
        <f t="shared" si="48"/>
        <v>0</v>
      </c>
      <c r="FP31" s="5"/>
      <c r="FQ31" s="29">
        <f t="shared" si="49"/>
        <v>0</v>
      </c>
      <c r="FR31" s="5"/>
      <c r="FS31" s="29">
        <f t="shared" si="50"/>
        <v>0</v>
      </c>
      <c r="FT31" s="5"/>
      <c r="FU31" s="29">
        <f t="shared" si="51"/>
        <v>0</v>
      </c>
      <c r="FV31" s="5"/>
      <c r="FW31" s="29">
        <f t="shared" si="51"/>
        <v>0</v>
      </c>
      <c r="FX31" s="5"/>
      <c r="FY31" s="29">
        <f t="shared" si="51"/>
        <v>0</v>
      </c>
      <c r="FZ31" s="5"/>
      <c r="GA31" s="29">
        <f t="shared" si="52"/>
        <v>0</v>
      </c>
      <c r="GB31" s="5"/>
      <c r="GC31" s="29">
        <f t="shared" si="53"/>
        <v>0</v>
      </c>
      <c r="GD31" s="5"/>
      <c r="GE31" s="29">
        <f t="shared" si="53"/>
        <v>0</v>
      </c>
      <c r="GF31" s="5"/>
      <c r="GG31" s="29">
        <f t="shared" si="53"/>
        <v>0</v>
      </c>
      <c r="GH31" s="5"/>
      <c r="GI31" s="29">
        <f t="shared" si="54"/>
        <v>0</v>
      </c>
      <c r="GJ31" s="5"/>
      <c r="GK31" s="29">
        <f t="shared" si="55"/>
        <v>0</v>
      </c>
      <c r="GL31" s="5"/>
      <c r="GM31" s="29">
        <f t="shared" si="55"/>
        <v>0</v>
      </c>
      <c r="GN31" s="5"/>
      <c r="GO31" s="29">
        <f t="shared" si="56"/>
        <v>0</v>
      </c>
      <c r="GP31" s="5"/>
      <c r="GQ31" s="29">
        <f t="shared" si="57"/>
        <v>0</v>
      </c>
      <c r="GR31" s="5"/>
      <c r="GS31" s="29">
        <f t="shared" si="58"/>
        <v>0</v>
      </c>
      <c r="GT31" s="5"/>
      <c r="GU31" s="29">
        <f t="shared" si="58"/>
        <v>0</v>
      </c>
    </row>
    <row r="32" spans="1:203">
      <c r="A32" s="38" t="s">
        <v>307</v>
      </c>
      <c r="C32" s="29"/>
      <c r="E32" s="29"/>
      <c r="G32" s="29"/>
      <c r="I32" s="29">
        <v>0</v>
      </c>
      <c r="K32" s="29">
        <v>0</v>
      </c>
      <c r="M32" s="29">
        <v>0</v>
      </c>
      <c r="O32" s="29">
        <v>0</v>
      </c>
      <c r="Q32" s="29">
        <v>0</v>
      </c>
      <c r="S32" s="29">
        <v>0</v>
      </c>
      <c r="U32" s="29">
        <v>0</v>
      </c>
      <c r="W32" s="29">
        <v>0</v>
      </c>
      <c r="Y32" s="29">
        <v>0</v>
      </c>
      <c r="AA32" s="29">
        <v>666001.56000000006</v>
      </c>
      <c r="AC32" s="29">
        <v>4800</v>
      </c>
      <c r="AE32" s="29">
        <v>4800</v>
      </c>
      <c r="AG32" s="29">
        <v>4800</v>
      </c>
      <c r="AI32" s="29">
        <v>1596200</v>
      </c>
      <c r="AK32" s="29">
        <v>1591400</v>
      </c>
      <c r="AM32" s="29">
        <v>1586600</v>
      </c>
      <c r="AO32" s="29">
        <v>1585000</v>
      </c>
      <c r="AQ32" s="29">
        <v>0</v>
      </c>
      <c r="AS32" s="29">
        <v>0</v>
      </c>
      <c r="AU32" s="29">
        <v>0</v>
      </c>
      <c r="AW32" s="29">
        <v>0</v>
      </c>
      <c r="AY32" s="29">
        <v>0</v>
      </c>
      <c r="BA32" s="29">
        <v>0</v>
      </c>
      <c r="BC32" s="29">
        <v>0</v>
      </c>
      <c r="BE32" s="29">
        <v>0</v>
      </c>
      <c r="BG32" s="29">
        <v>0</v>
      </c>
      <c r="BI32" s="29">
        <v>0</v>
      </c>
      <c r="BK32" s="29">
        <v>0</v>
      </c>
      <c r="BM32" s="29">
        <v>0</v>
      </c>
      <c r="BO32" s="29">
        <v>0</v>
      </c>
      <c r="BQ32" s="29">
        <v>0</v>
      </c>
      <c r="BS32" s="29">
        <v>0</v>
      </c>
      <c r="BU32" s="29">
        <v>0</v>
      </c>
      <c r="BW32" s="29">
        <v>0</v>
      </c>
      <c r="BY32" s="29">
        <v>0</v>
      </c>
      <c r="CA32" s="29">
        <v>0</v>
      </c>
      <c r="CC32" s="29">
        <v>0</v>
      </c>
      <c r="CE32" s="29">
        <v>0</v>
      </c>
      <c r="CG32" s="29">
        <v>0</v>
      </c>
      <c r="CI32" s="29">
        <v>0</v>
      </c>
      <c r="CK32" s="29">
        <v>0</v>
      </c>
      <c r="CM32" s="29">
        <v>0</v>
      </c>
      <c r="CO32" s="29">
        <v>0</v>
      </c>
      <c r="CQ32" s="29">
        <v>0</v>
      </c>
      <c r="CS32" s="29">
        <v>0</v>
      </c>
      <c r="CU32" s="29">
        <v>0</v>
      </c>
      <c r="CW32" s="29">
        <v>0</v>
      </c>
      <c r="CY32" s="29">
        <v>0</v>
      </c>
      <c r="DA32" s="29">
        <v>0</v>
      </c>
      <c r="DC32" s="29"/>
      <c r="DD32" s="5"/>
      <c r="DE32" s="29"/>
      <c r="DF32" s="5"/>
      <c r="DG32" s="29"/>
      <c r="DH32" s="5"/>
      <c r="DI32" s="29">
        <f t="shared" si="59"/>
        <v>0</v>
      </c>
      <c r="DJ32" s="5"/>
      <c r="DK32" s="29">
        <f t="shared" si="32"/>
        <v>0</v>
      </c>
      <c r="DL32" s="5"/>
      <c r="DM32" s="29">
        <f t="shared" si="32"/>
        <v>0</v>
      </c>
      <c r="DN32" s="5"/>
      <c r="DO32" s="29">
        <f t="shared" si="32"/>
        <v>0</v>
      </c>
      <c r="DP32" s="5"/>
      <c r="DQ32" s="29">
        <f t="shared" si="60"/>
        <v>0</v>
      </c>
      <c r="DR32" s="5"/>
      <c r="DS32" s="29">
        <f t="shared" si="34"/>
        <v>0</v>
      </c>
      <c r="DT32" s="5"/>
      <c r="DU32" s="29">
        <f t="shared" si="34"/>
        <v>0</v>
      </c>
      <c r="DV32" s="5"/>
      <c r="DW32" s="29">
        <f t="shared" si="34"/>
        <v>0</v>
      </c>
      <c r="DX32" s="5"/>
      <c r="DY32" s="29">
        <f t="shared" si="35"/>
        <v>0</v>
      </c>
      <c r="DZ32" s="5"/>
      <c r="EA32" s="29">
        <f t="shared" si="36"/>
        <v>661201.56000000006</v>
      </c>
      <c r="EB32" s="5"/>
      <c r="EC32" s="29">
        <f t="shared" si="36"/>
        <v>0</v>
      </c>
      <c r="ED32" s="5"/>
      <c r="EE32" s="29">
        <f t="shared" si="36"/>
        <v>0</v>
      </c>
      <c r="EF32" s="5"/>
      <c r="EG32" s="29">
        <f t="shared" si="37"/>
        <v>4800</v>
      </c>
      <c r="EH32" s="5"/>
      <c r="EI32" s="29">
        <f t="shared" si="38"/>
        <v>4800</v>
      </c>
      <c r="EJ32" s="5"/>
      <c r="EK32" s="29">
        <f t="shared" si="38"/>
        <v>4800</v>
      </c>
      <c r="EL32" s="5"/>
      <c r="EM32" s="29">
        <f t="shared" si="38"/>
        <v>1600</v>
      </c>
      <c r="EN32" s="5"/>
      <c r="EO32" s="29">
        <f t="shared" si="39"/>
        <v>1585000</v>
      </c>
      <c r="EP32" s="5"/>
      <c r="EQ32" s="29">
        <f t="shared" si="40"/>
        <v>0</v>
      </c>
      <c r="ER32" s="5"/>
      <c r="ES32" s="29">
        <f t="shared" si="41"/>
        <v>0</v>
      </c>
      <c r="ET32" s="5"/>
      <c r="EU32" s="29">
        <f t="shared" si="42"/>
        <v>0</v>
      </c>
      <c r="EV32" s="5"/>
      <c r="EW32" s="29">
        <f t="shared" si="43"/>
        <v>0</v>
      </c>
      <c r="EX32" s="5"/>
      <c r="EY32" s="29">
        <f t="shared" si="44"/>
        <v>0</v>
      </c>
      <c r="EZ32" s="5"/>
      <c r="FA32" s="29">
        <f t="shared" si="44"/>
        <v>0</v>
      </c>
      <c r="FB32" s="5"/>
      <c r="FC32" s="29">
        <f t="shared" si="44"/>
        <v>0</v>
      </c>
      <c r="FD32" s="5"/>
      <c r="FE32" s="29">
        <f t="shared" si="45"/>
        <v>0</v>
      </c>
      <c r="FF32" s="5"/>
      <c r="FG32" s="29">
        <v>0</v>
      </c>
      <c r="FH32" s="5"/>
      <c r="FI32" s="29">
        <f t="shared" si="46"/>
        <v>0</v>
      </c>
      <c r="FJ32" s="5"/>
      <c r="FK32" s="29">
        <f t="shared" si="46"/>
        <v>0</v>
      </c>
      <c r="FL32" s="5"/>
      <c r="FM32" s="29">
        <f t="shared" si="47"/>
        <v>0</v>
      </c>
      <c r="FN32" s="5"/>
      <c r="FO32" s="29">
        <f t="shared" si="48"/>
        <v>0</v>
      </c>
      <c r="FP32" s="5"/>
      <c r="FQ32" s="29">
        <f t="shared" si="49"/>
        <v>0</v>
      </c>
      <c r="FR32" s="5"/>
      <c r="FS32" s="29">
        <f t="shared" si="50"/>
        <v>0</v>
      </c>
      <c r="FT32" s="5"/>
      <c r="FU32" s="29">
        <f t="shared" si="51"/>
        <v>0</v>
      </c>
      <c r="FV32" s="5"/>
      <c r="FW32" s="29">
        <f t="shared" si="51"/>
        <v>0</v>
      </c>
      <c r="FX32" s="5"/>
      <c r="FY32" s="29">
        <f t="shared" si="51"/>
        <v>0</v>
      </c>
      <c r="FZ32" s="5"/>
      <c r="GA32" s="29">
        <f t="shared" si="52"/>
        <v>0</v>
      </c>
      <c r="GB32" s="5"/>
      <c r="GC32" s="29">
        <f t="shared" si="53"/>
        <v>0</v>
      </c>
      <c r="GD32" s="5"/>
      <c r="GE32" s="29">
        <f t="shared" si="53"/>
        <v>0</v>
      </c>
      <c r="GF32" s="5"/>
      <c r="GG32" s="29">
        <f t="shared" si="53"/>
        <v>0</v>
      </c>
      <c r="GH32" s="5"/>
      <c r="GI32" s="29">
        <f t="shared" si="54"/>
        <v>0</v>
      </c>
      <c r="GJ32" s="5"/>
      <c r="GK32" s="29">
        <f t="shared" si="55"/>
        <v>0</v>
      </c>
      <c r="GL32" s="5"/>
      <c r="GM32" s="29">
        <f t="shared" si="55"/>
        <v>0</v>
      </c>
      <c r="GN32" s="5"/>
      <c r="GO32" s="29">
        <f t="shared" si="56"/>
        <v>0</v>
      </c>
      <c r="GP32" s="5"/>
      <c r="GQ32" s="29">
        <f t="shared" si="57"/>
        <v>0</v>
      </c>
      <c r="GR32" s="5"/>
      <c r="GS32" s="29">
        <f t="shared" si="58"/>
        <v>0</v>
      </c>
      <c r="GT32" s="5"/>
      <c r="GU32" s="29">
        <f t="shared" si="58"/>
        <v>0</v>
      </c>
    </row>
    <row r="33" spans="1:203">
      <c r="A33" s="38" t="s">
        <v>308</v>
      </c>
      <c r="C33" s="29"/>
      <c r="E33" s="29"/>
      <c r="G33" s="29"/>
      <c r="I33" s="29">
        <v>0</v>
      </c>
      <c r="K33" s="29">
        <v>0</v>
      </c>
      <c r="M33" s="29">
        <v>0</v>
      </c>
      <c r="O33" s="29">
        <v>0</v>
      </c>
      <c r="Q33" s="29">
        <v>0</v>
      </c>
      <c r="S33" s="29">
        <v>0</v>
      </c>
      <c r="U33" s="29">
        <v>253062.56</v>
      </c>
      <c r="W33" s="29">
        <v>253062.56</v>
      </c>
      <c r="Y33" s="29">
        <v>225980</v>
      </c>
      <c r="AA33" s="29">
        <v>6812.0099999999993</v>
      </c>
      <c r="AC33" s="29">
        <v>232.3</v>
      </c>
      <c r="AE33" s="29">
        <v>154.74</v>
      </c>
      <c r="AG33" s="29">
        <v>154.74</v>
      </c>
      <c r="AI33" s="29">
        <v>155008.32000000001</v>
      </c>
      <c r="AK33" s="29">
        <v>154362.59</v>
      </c>
      <c r="AM33" s="29">
        <v>154123.38</v>
      </c>
      <c r="AO33" s="29">
        <v>30.87</v>
      </c>
      <c r="AQ33" s="29">
        <v>138.20999999999998</v>
      </c>
      <c r="AS33" s="29">
        <v>545.20999999999992</v>
      </c>
      <c r="AU33" s="29">
        <v>203.29999999999998</v>
      </c>
      <c r="AW33" s="29">
        <v>0</v>
      </c>
      <c r="AY33" s="29">
        <v>505.47</v>
      </c>
      <c r="BA33" s="29">
        <v>272.45</v>
      </c>
      <c r="BC33" s="29">
        <v>272.45</v>
      </c>
      <c r="BE33" s="29">
        <v>108.15</v>
      </c>
      <c r="BG33" s="29">
        <v>35.69</v>
      </c>
      <c r="BI33" s="29">
        <v>28</v>
      </c>
      <c r="BK33" s="29">
        <v>27.98</v>
      </c>
      <c r="BM33" s="29">
        <v>27.98</v>
      </c>
      <c r="BO33" s="29">
        <v>27.98</v>
      </c>
      <c r="BQ33" s="29">
        <v>27.980000000006985</v>
      </c>
      <c r="BS33" s="29">
        <v>0</v>
      </c>
      <c r="BU33" s="29">
        <v>5.76</v>
      </c>
      <c r="BW33" s="29">
        <v>4.6500000000000004</v>
      </c>
      <c r="BY33" s="29">
        <v>4.6500000000000004</v>
      </c>
      <c r="CA33" s="29">
        <v>0</v>
      </c>
      <c r="CC33" s="29">
        <v>39.64</v>
      </c>
      <c r="CE33" s="29">
        <v>8.34</v>
      </c>
      <c r="CG33" s="29">
        <v>7.4</v>
      </c>
      <c r="CI33" s="29">
        <v>0</v>
      </c>
      <c r="CK33" s="29">
        <v>0</v>
      </c>
      <c r="CM33" s="29">
        <v>0</v>
      </c>
      <c r="CO33" s="29">
        <v>0</v>
      </c>
      <c r="CQ33" s="29">
        <v>0</v>
      </c>
      <c r="CS33" s="29">
        <v>20352.109999999986</v>
      </c>
      <c r="CU33" s="29">
        <v>0</v>
      </c>
      <c r="CW33" s="29">
        <v>0</v>
      </c>
      <c r="CY33" s="29">
        <v>15570.419999999984</v>
      </c>
      <c r="DA33" s="29">
        <v>350962.16</v>
      </c>
      <c r="DC33" s="29"/>
      <c r="DD33" s="5"/>
      <c r="DE33" s="29"/>
      <c r="DF33" s="5"/>
      <c r="DG33" s="29"/>
      <c r="DH33" s="5"/>
      <c r="DI33" s="29">
        <f t="shared" si="59"/>
        <v>0</v>
      </c>
      <c r="DJ33" s="5"/>
      <c r="DK33" s="29">
        <f t="shared" si="32"/>
        <v>0</v>
      </c>
      <c r="DL33" s="5"/>
      <c r="DM33" s="29">
        <f t="shared" si="32"/>
        <v>0</v>
      </c>
      <c r="DN33" s="5"/>
      <c r="DO33" s="29">
        <f t="shared" si="32"/>
        <v>0</v>
      </c>
      <c r="DP33" s="5"/>
      <c r="DQ33" s="29">
        <f t="shared" si="60"/>
        <v>0</v>
      </c>
      <c r="DR33" s="5"/>
      <c r="DS33" s="29">
        <f t="shared" si="34"/>
        <v>-253062.56</v>
      </c>
      <c r="DT33" s="5"/>
      <c r="DU33" s="29">
        <f t="shared" si="34"/>
        <v>0</v>
      </c>
      <c r="DV33" s="5"/>
      <c r="DW33" s="29">
        <f t="shared" si="34"/>
        <v>27082.559999999998</v>
      </c>
      <c r="DX33" s="5"/>
      <c r="DY33" s="29">
        <f t="shared" si="35"/>
        <v>225980</v>
      </c>
      <c r="DZ33" s="5"/>
      <c r="EA33" s="29">
        <f t="shared" si="36"/>
        <v>6579.7099999999991</v>
      </c>
      <c r="EB33" s="5"/>
      <c r="EC33" s="29">
        <f t="shared" si="36"/>
        <v>77.56</v>
      </c>
      <c r="ED33" s="5"/>
      <c r="EE33" s="29">
        <f t="shared" si="36"/>
        <v>0</v>
      </c>
      <c r="EF33" s="5"/>
      <c r="EG33" s="29">
        <f t="shared" si="37"/>
        <v>154.74</v>
      </c>
      <c r="EH33" s="5"/>
      <c r="EI33" s="29">
        <f t="shared" si="38"/>
        <v>645.73000000001048</v>
      </c>
      <c r="EJ33" s="5"/>
      <c r="EK33" s="29">
        <f t="shared" si="38"/>
        <v>239.20999999999185</v>
      </c>
      <c r="EL33" s="5"/>
      <c r="EM33" s="29">
        <f t="shared" si="38"/>
        <v>154092.51</v>
      </c>
      <c r="EN33" s="5"/>
      <c r="EO33" s="29">
        <f t="shared" si="39"/>
        <v>30.87</v>
      </c>
      <c r="EP33" s="5"/>
      <c r="EQ33" s="29">
        <f t="shared" si="40"/>
        <v>-406.99999999999994</v>
      </c>
      <c r="ER33" s="5"/>
      <c r="ES33" s="29">
        <f t="shared" si="41"/>
        <v>341.90999999999997</v>
      </c>
      <c r="ET33" s="5"/>
      <c r="EU33" s="29">
        <f t="shared" si="42"/>
        <v>203.29999999999998</v>
      </c>
      <c r="EV33" s="5"/>
      <c r="EW33" s="29">
        <f t="shared" si="43"/>
        <v>0</v>
      </c>
      <c r="EX33" s="5"/>
      <c r="EY33" s="29">
        <f t="shared" si="44"/>
        <v>233.02000000000004</v>
      </c>
      <c r="EZ33" s="5"/>
      <c r="FA33" s="29">
        <f t="shared" si="44"/>
        <v>0</v>
      </c>
      <c r="FB33" s="5"/>
      <c r="FC33" s="29">
        <f t="shared" si="44"/>
        <v>164.29999999999998</v>
      </c>
      <c r="FD33" s="5"/>
      <c r="FE33" s="29">
        <f t="shared" si="45"/>
        <v>108.15</v>
      </c>
      <c r="FF33" s="5"/>
      <c r="FG33" s="29">
        <v>7.6899999999999986</v>
      </c>
      <c r="FH33" s="5"/>
      <c r="FI33" s="29">
        <f t="shared" si="46"/>
        <v>1.9999999999999574E-2</v>
      </c>
      <c r="FJ33" s="5"/>
      <c r="FK33" s="29">
        <f t="shared" si="46"/>
        <v>0</v>
      </c>
      <c r="FL33" s="5"/>
      <c r="FM33" s="29">
        <f t="shared" si="47"/>
        <v>0</v>
      </c>
      <c r="FN33" s="5"/>
      <c r="FO33" s="29">
        <f t="shared" si="48"/>
        <v>-6.9846350925217848E-12</v>
      </c>
      <c r="FP33" s="5"/>
      <c r="FQ33" s="29">
        <f t="shared" si="49"/>
        <v>27.980000000006985</v>
      </c>
      <c r="FR33" s="5"/>
      <c r="FS33" s="29">
        <f t="shared" si="50"/>
        <v>0</v>
      </c>
      <c r="FT33" s="5"/>
      <c r="FU33" s="29">
        <f t="shared" si="51"/>
        <v>1.1099999999999994</v>
      </c>
      <c r="FV33" s="5"/>
      <c r="FW33" s="29">
        <f t="shared" si="51"/>
        <v>0</v>
      </c>
      <c r="FX33" s="5"/>
      <c r="FY33" s="29">
        <f t="shared" si="51"/>
        <v>4.6500000000000004</v>
      </c>
      <c r="FZ33" s="5"/>
      <c r="GA33" s="29">
        <f t="shared" si="52"/>
        <v>0</v>
      </c>
      <c r="GB33" s="5"/>
      <c r="GC33" s="29">
        <f t="shared" si="53"/>
        <v>31.3</v>
      </c>
      <c r="GD33" s="5"/>
      <c r="GE33" s="29">
        <f t="shared" si="53"/>
        <v>0.9399999999999995</v>
      </c>
      <c r="GF33" s="5"/>
      <c r="GG33" s="29">
        <f t="shared" si="53"/>
        <v>7.4</v>
      </c>
      <c r="GH33" s="5"/>
      <c r="GI33" s="29">
        <f t="shared" si="54"/>
        <v>0</v>
      </c>
      <c r="GJ33" s="5"/>
      <c r="GK33" s="29">
        <f t="shared" si="55"/>
        <v>0</v>
      </c>
      <c r="GL33" s="5"/>
      <c r="GM33" s="29">
        <f t="shared" si="55"/>
        <v>0</v>
      </c>
      <c r="GN33" s="5"/>
      <c r="GO33" s="29">
        <f t="shared" si="56"/>
        <v>0</v>
      </c>
      <c r="GP33" s="5"/>
      <c r="GQ33" s="29">
        <f t="shared" si="57"/>
        <v>0</v>
      </c>
      <c r="GR33" s="5"/>
      <c r="GS33" s="29">
        <f t="shared" si="58"/>
        <v>20352.109999999986</v>
      </c>
      <c r="GT33" s="5"/>
      <c r="GU33" s="29">
        <f t="shared" si="58"/>
        <v>0</v>
      </c>
    </row>
    <row r="34" spans="1:203">
      <c r="A34" s="38" t="s">
        <v>112</v>
      </c>
      <c r="C34" s="29"/>
      <c r="E34" s="29"/>
      <c r="G34" s="29"/>
      <c r="I34" s="29">
        <v>0</v>
      </c>
      <c r="K34" s="29">
        <v>0</v>
      </c>
      <c r="M34" s="29">
        <v>0</v>
      </c>
      <c r="O34" s="29">
        <v>0</v>
      </c>
      <c r="Q34" s="29">
        <v>0</v>
      </c>
      <c r="S34" s="29">
        <v>0</v>
      </c>
      <c r="U34" s="29">
        <v>0</v>
      </c>
      <c r="W34" s="29">
        <v>0</v>
      </c>
      <c r="Y34" s="29">
        <v>0</v>
      </c>
      <c r="AA34" s="29">
        <v>0</v>
      </c>
      <c r="AC34" s="29">
        <v>0</v>
      </c>
      <c r="AE34" s="29">
        <v>0</v>
      </c>
      <c r="AG34" s="29">
        <v>0</v>
      </c>
      <c r="AI34" s="29">
        <v>0</v>
      </c>
      <c r="AK34" s="29">
        <v>0</v>
      </c>
      <c r="AM34" s="29">
        <v>0</v>
      </c>
      <c r="AO34" s="29">
        <v>0</v>
      </c>
      <c r="AQ34" s="29">
        <v>0</v>
      </c>
      <c r="AS34" s="29">
        <v>183442.21</v>
      </c>
      <c r="AU34" s="29">
        <v>0</v>
      </c>
      <c r="AW34" s="29">
        <v>0</v>
      </c>
      <c r="AY34" s="29">
        <v>0</v>
      </c>
      <c r="BA34" s="29">
        <v>58210.405000000035</v>
      </c>
      <c r="BC34" s="29">
        <v>58210.405000000028</v>
      </c>
      <c r="BE34" s="29">
        <v>0</v>
      </c>
      <c r="BG34" s="29">
        <v>0</v>
      </c>
      <c r="BI34" s="29">
        <v>0</v>
      </c>
      <c r="BK34" s="29">
        <v>0</v>
      </c>
      <c r="BM34" s="29">
        <v>0</v>
      </c>
      <c r="BO34" s="29">
        <v>13347.274999999907</v>
      </c>
      <c r="BQ34" s="29">
        <v>8653.5499999999993</v>
      </c>
      <c r="BS34" s="29">
        <v>0</v>
      </c>
      <c r="BU34" s="29">
        <v>0</v>
      </c>
      <c r="BW34" s="29">
        <v>0</v>
      </c>
      <c r="BY34" s="29">
        <v>0</v>
      </c>
      <c r="CA34" s="29">
        <v>0</v>
      </c>
      <c r="CC34" s="29">
        <v>0</v>
      </c>
      <c r="CE34" s="29">
        <v>0</v>
      </c>
      <c r="CG34" s="29">
        <v>0</v>
      </c>
      <c r="CI34" s="29">
        <v>0</v>
      </c>
      <c r="CK34" s="29">
        <v>0</v>
      </c>
      <c r="CM34" s="29">
        <v>0</v>
      </c>
      <c r="CO34" s="29">
        <v>0</v>
      </c>
      <c r="CQ34" s="29">
        <v>0</v>
      </c>
      <c r="CS34" s="29">
        <v>0</v>
      </c>
      <c r="CU34" s="29">
        <v>0</v>
      </c>
      <c r="CW34" s="29">
        <v>0</v>
      </c>
      <c r="CY34" s="29">
        <v>0</v>
      </c>
      <c r="DA34" s="29">
        <v>0</v>
      </c>
      <c r="DC34" s="29"/>
      <c r="DD34" s="5"/>
      <c r="DE34" s="29"/>
      <c r="DF34" s="5"/>
      <c r="DG34" s="29"/>
      <c r="DH34" s="5"/>
      <c r="DI34" s="29">
        <f t="shared" si="59"/>
        <v>0</v>
      </c>
      <c r="DJ34" s="5"/>
      <c r="DK34" s="29">
        <f t="shared" si="32"/>
        <v>0</v>
      </c>
      <c r="DL34" s="5"/>
      <c r="DM34" s="29">
        <f t="shared" si="32"/>
        <v>0</v>
      </c>
      <c r="DN34" s="5"/>
      <c r="DO34" s="29">
        <f t="shared" si="32"/>
        <v>0</v>
      </c>
      <c r="DP34" s="5"/>
      <c r="DQ34" s="29">
        <f t="shared" si="60"/>
        <v>0</v>
      </c>
      <c r="DR34" s="5"/>
      <c r="DS34" s="29">
        <f t="shared" si="34"/>
        <v>0</v>
      </c>
      <c r="DT34" s="5"/>
      <c r="DU34" s="29">
        <f t="shared" si="34"/>
        <v>0</v>
      </c>
      <c r="DV34" s="5"/>
      <c r="DW34" s="29">
        <f t="shared" si="34"/>
        <v>0</v>
      </c>
      <c r="DX34" s="5"/>
      <c r="DY34" s="29">
        <f t="shared" si="35"/>
        <v>0</v>
      </c>
      <c r="DZ34" s="5"/>
      <c r="EA34" s="29">
        <f t="shared" si="36"/>
        <v>0</v>
      </c>
      <c r="EB34" s="5"/>
      <c r="EC34" s="29">
        <f t="shared" si="36"/>
        <v>0</v>
      </c>
      <c r="ED34" s="5"/>
      <c r="EE34" s="29">
        <f t="shared" si="36"/>
        <v>0</v>
      </c>
      <c r="EF34" s="5"/>
      <c r="EG34" s="29">
        <f t="shared" si="37"/>
        <v>0</v>
      </c>
      <c r="EH34" s="5"/>
      <c r="EI34" s="29">
        <f t="shared" si="38"/>
        <v>0</v>
      </c>
      <c r="EJ34" s="5"/>
      <c r="EK34" s="29">
        <f t="shared" si="38"/>
        <v>0</v>
      </c>
      <c r="EL34" s="5"/>
      <c r="EM34" s="29">
        <f t="shared" si="38"/>
        <v>0</v>
      </c>
      <c r="EN34" s="5"/>
      <c r="EO34" s="29">
        <f t="shared" si="39"/>
        <v>0</v>
      </c>
      <c r="EP34" s="5"/>
      <c r="EQ34" s="29">
        <f t="shared" si="40"/>
        <v>-183442.21</v>
      </c>
      <c r="ER34" s="5"/>
      <c r="ES34" s="29">
        <f t="shared" si="41"/>
        <v>183442.21</v>
      </c>
      <c r="ET34" s="5"/>
      <c r="EU34" s="29">
        <f t="shared" si="42"/>
        <v>0</v>
      </c>
      <c r="EV34" s="5"/>
      <c r="EW34" s="29">
        <f t="shared" si="43"/>
        <v>0</v>
      </c>
      <c r="EX34" s="5"/>
      <c r="EY34" s="29">
        <f t="shared" si="44"/>
        <v>-58210.405000000035</v>
      </c>
      <c r="EZ34" s="5"/>
      <c r="FA34" s="29">
        <f t="shared" si="44"/>
        <v>0</v>
      </c>
      <c r="FB34" s="5"/>
      <c r="FC34" s="29">
        <f t="shared" si="44"/>
        <v>58210.405000000028</v>
      </c>
      <c r="FD34" s="5"/>
      <c r="FE34" s="29">
        <f t="shared" si="45"/>
        <v>0</v>
      </c>
      <c r="FF34" s="5"/>
      <c r="FG34" s="29">
        <v>0</v>
      </c>
      <c r="FH34" s="5"/>
      <c r="FI34" s="29">
        <f t="shared" si="46"/>
        <v>0</v>
      </c>
      <c r="FJ34" s="5"/>
      <c r="FK34" s="29">
        <f t="shared" si="46"/>
        <v>0</v>
      </c>
      <c r="FL34" s="5"/>
      <c r="FM34" s="29">
        <f t="shared" si="47"/>
        <v>-13347.274999999907</v>
      </c>
      <c r="FN34" s="5"/>
      <c r="FO34" s="29">
        <f t="shared" si="48"/>
        <v>4693.7249999999076</v>
      </c>
      <c r="FP34" s="5"/>
      <c r="FQ34" s="29">
        <f t="shared" si="49"/>
        <v>8653.5499999999993</v>
      </c>
      <c r="FR34" s="5"/>
      <c r="FS34" s="29">
        <f t="shared" si="50"/>
        <v>0</v>
      </c>
      <c r="FT34" s="5"/>
      <c r="FU34" s="29">
        <f t="shared" si="51"/>
        <v>0</v>
      </c>
      <c r="FV34" s="5"/>
      <c r="FW34" s="29">
        <f t="shared" si="51"/>
        <v>0</v>
      </c>
      <c r="FX34" s="5"/>
      <c r="FY34" s="29">
        <f t="shared" si="51"/>
        <v>0</v>
      </c>
      <c r="FZ34" s="5"/>
      <c r="GA34" s="29">
        <f t="shared" si="52"/>
        <v>0</v>
      </c>
      <c r="GB34" s="5"/>
      <c r="GC34" s="29">
        <f t="shared" si="53"/>
        <v>0</v>
      </c>
      <c r="GD34" s="5"/>
      <c r="GE34" s="29">
        <f t="shared" si="53"/>
        <v>0</v>
      </c>
      <c r="GF34" s="5"/>
      <c r="GG34" s="29">
        <f t="shared" si="53"/>
        <v>0</v>
      </c>
      <c r="GH34" s="5"/>
      <c r="GI34" s="29">
        <f t="shared" si="54"/>
        <v>0</v>
      </c>
      <c r="GJ34" s="5"/>
      <c r="GK34" s="29">
        <f t="shared" si="55"/>
        <v>0</v>
      </c>
      <c r="GL34" s="5"/>
      <c r="GM34" s="29">
        <f t="shared" si="55"/>
        <v>0</v>
      </c>
      <c r="GN34" s="5"/>
      <c r="GO34" s="29">
        <f t="shared" si="56"/>
        <v>0</v>
      </c>
      <c r="GP34" s="5"/>
      <c r="GQ34" s="29">
        <f t="shared" si="57"/>
        <v>0</v>
      </c>
      <c r="GR34" s="5"/>
      <c r="GS34" s="29">
        <f t="shared" si="58"/>
        <v>0</v>
      </c>
      <c r="GT34" s="5"/>
      <c r="GU34" s="29">
        <f t="shared" si="58"/>
        <v>0</v>
      </c>
    </row>
    <row r="35" spans="1:203">
      <c r="A35" s="38" t="s">
        <v>251</v>
      </c>
      <c r="C35" s="29"/>
      <c r="E35" s="29"/>
      <c r="G35" s="29"/>
      <c r="I35" s="29">
        <v>0</v>
      </c>
      <c r="K35" s="29">
        <v>0</v>
      </c>
      <c r="M35" s="29">
        <v>0</v>
      </c>
      <c r="O35" s="29">
        <v>0</v>
      </c>
      <c r="Q35" s="29">
        <v>0</v>
      </c>
      <c r="S35" s="29">
        <v>40850.01</v>
      </c>
      <c r="U35" s="29">
        <v>40850.01</v>
      </c>
      <c r="W35" s="29">
        <v>0</v>
      </c>
      <c r="Y35" s="29">
        <v>0</v>
      </c>
      <c r="AA35" s="29">
        <v>1191397.48</v>
      </c>
      <c r="AC35" s="29">
        <v>1191397.48</v>
      </c>
      <c r="AE35" s="29">
        <v>700098.02</v>
      </c>
      <c r="AG35" s="29">
        <v>617274.98</v>
      </c>
      <c r="AI35" s="29">
        <v>240770.45</v>
      </c>
      <c r="AK35" s="29">
        <v>240770.45002235175</v>
      </c>
      <c r="AM35" s="29">
        <v>240770.45</v>
      </c>
      <c r="AO35" s="29">
        <v>240770.45</v>
      </c>
      <c r="AQ35" s="29">
        <v>530835.66</v>
      </c>
      <c r="AS35" s="29">
        <v>678113.03</v>
      </c>
      <c r="AU35" s="29">
        <v>6785.3999999999651</v>
      </c>
      <c r="AW35" s="29">
        <v>280920</v>
      </c>
      <c r="AY35" s="29">
        <v>2571646.2000000002</v>
      </c>
      <c r="BA35" s="29">
        <v>1394299.35</v>
      </c>
      <c r="BC35" s="29">
        <v>1026047.15</v>
      </c>
      <c r="BE35" s="29">
        <v>955301.49000000011</v>
      </c>
      <c r="BG35" s="29">
        <v>509421.04999999981</v>
      </c>
      <c r="BI35" s="29">
        <v>7157386.5</v>
      </c>
      <c r="BK35" s="29">
        <v>6820218.8700000001</v>
      </c>
      <c r="BM35" s="29">
        <v>6820218.8700000001</v>
      </c>
      <c r="BO35" s="29">
        <v>6593976.3399999999</v>
      </c>
      <c r="BQ35" s="29">
        <v>229408.18</v>
      </c>
      <c r="BS35" s="29">
        <v>106792.47</v>
      </c>
      <c r="BU35" s="29">
        <v>5920167.9100000001</v>
      </c>
      <c r="BW35" s="29">
        <v>5654925.0700000003</v>
      </c>
      <c r="BY35" s="29">
        <v>5527574.6699999999</v>
      </c>
      <c r="CA35" s="29">
        <v>5477686.4199999999</v>
      </c>
      <c r="CC35" s="29"/>
      <c r="CE35" s="29"/>
      <c r="CG35" s="29"/>
      <c r="CI35" s="29"/>
      <c r="CK35" s="29"/>
      <c r="CM35" s="29"/>
      <c r="CO35" s="29"/>
      <c r="CQ35" s="29"/>
      <c r="CS35" s="29"/>
      <c r="CU35" s="29"/>
      <c r="CW35" s="29"/>
      <c r="CY35" s="29"/>
      <c r="DA35" s="29"/>
      <c r="DC35" s="29"/>
      <c r="DD35" s="5"/>
      <c r="DE35" s="29"/>
      <c r="DF35" s="5"/>
      <c r="DG35" s="29"/>
      <c r="DH35" s="5"/>
      <c r="DI35" s="29">
        <f t="shared" si="59"/>
        <v>0</v>
      </c>
      <c r="DJ35" s="5"/>
      <c r="DK35" s="29">
        <f t="shared" si="32"/>
        <v>0</v>
      </c>
      <c r="DL35" s="5"/>
      <c r="DM35" s="29">
        <f t="shared" si="32"/>
        <v>0</v>
      </c>
      <c r="DN35" s="5"/>
      <c r="DO35" s="29">
        <f t="shared" si="32"/>
        <v>0</v>
      </c>
      <c r="DP35" s="5"/>
      <c r="DQ35" s="29">
        <f t="shared" si="60"/>
        <v>0</v>
      </c>
      <c r="DR35" s="5"/>
      <c r="DS35" s="29">
        <f t="shared" si="34"/>
        <v>0</v>
      </c>
      <c r="DT35" s="5"/>
      <c r="DU35" s="29">
        <f t="shared" si="34"/>
        <v>40850.01</v>
      </c>
      <c r="DV35" s="5"/>
      <c r="DW35" s="29">
        <f t="shared" si="34"/>
        <v>0</v>
      </c>
      <c r="DX35" s="5"/>
      <c r="DY35" s="29">
        <f t="shared" si="35"/>
        <v>0</v>
      </c>
      <c r="DZ35" s="5"/>
      <c r="EA35" s="29">
        <f t="shared" si="36"/>
        <v>0</v>
      </c>
      <c r="EB35" s="5"/>
      <c r="EC35" s="29">
        <f t="shared" si="36"/>
        <v>491299.45999999996</v>
      </c>
      <c r="ED35" s="5"/>
      <c r="EE35" s="29">
        <f t="shared" si="36"/>
        <v>82823.040000000037</v>
      </c>
      <c r="EF35" s="5"/>
      <c r="EG35" s="29">
        <f t="shared" si="37"/>
        <v>617274.98</v>
      </c>
      <c r="EH35" s="5"/>
      <c r="EI35" s="29">
        <f t="shared" si="38"/>
        <v>-2.2351741790771484E-5</v>
      </c>
      <c r="EJ35" s="5"/>
      <c r="EK35" s="29">
        <f t="shared" si="38"/>
        <v>2.2351741790771484E-5</v>
      </c>
      <c r="EL35" s="5"/>
      <c r="EM35" s="29">
        <f t="shared" si="38"/>
        <v>0</v>
      </c>
      <c r="EN35" s="5"/>
      <c r="EO35" s="29">
        <f t="shared" si="39"/>
        <v>240770.45</v>
      </c>
      <c r="EP35" s="5"/>
      <c r="EQ35" s="29">
        <f t="shared" si="40"/>
        <v>-147277.37</v>
      </c>
      <c r="ER35" s="5"/>
      <c r="ES35" s="29">
        <f t="shared" si="41"/>
        <v>671327.63000000012</v>
      </c>
      <c r="ET35" s="5"/>
      <c r="EU35" s="29">
        <f t="shared" si="42"/>
        <v>-274134.60000000003</v>
      </c>
      <c r="EV35" s="5"/>
      <c r="EW35" s="29">
        <f t="shared" si="43"/>
        <v>280920</v>
      </c>
      <c r="EX35" s="5"/>
      <c r="EY35" s="29">
        <f t="shared" si="44"/>
        <v>1177346.8500000001</v>
      </c>
      <c r="EZ35" s="5"/>
      <c r="FA35" s="29">
        <f t="shared" si="44"/>
        <v>368252.20000000007</v>
      </c>
      <c r="FB35" s="5"/>
      <c r="FC35" s="29">
        <f t="shared" si="44"/>
        <v>70745.659999999916</v>
      </c>
      <c r="FD35" s="5"/>
      <c r="FE35" s="29">
        <f t="shared" si="45"/>
        <v>955301.49000000011</v>
      </c>
      <c r="FF35" s="5"/>
      <c r="FG35" s="29">
        <v>210729.7800000007</v>
      </c>
      <c r="FH35" s="5"/>
      <c r="FI35" s="29">
        <f t="shared" si="46"/>
        <v>337167.62999999989</v>
      </c>
      <c r="FJ35" s="5"/>
      <c r="FK35" s="29">
        <f t="shared" si="46"/>
        <v>0</v>
      </c>
      <c r="FL35" s="5"/>
      <c r="FM35" s="29">
        <f t="shared" si="47"/>
        <v>226242.53000000026</v>
      </c>
      <c r="FN35" s="5"/>
      <c r="FO35" s="29">
        <f t="shared" si="48"/>
        <v>6364568.1600000001</v>
      </c>
      <c r="FP35" s="5"/>
      <c r="FQ35" s="29">
        <f t="shared" si="49"/>
        <v>122615.70999999999</v>
      </c>
      <c r="FR35" s="5"/>
      <c r="FS35" s="29">
        <f t="shared" si="50"/>
        <v>106792.47</v>
      </c>
      <c r="FT35" s="5"/>
      <c r="FU35" s="29">
        <f t="shared" si="51"/>
        <v>265242.83999999985</v>
      </c>
      <c r="FV35" s="5"/>
      <c r="FW35" s="29">
        <f t="shared" si="51"/>
        <v>127350.40000000037</v>
      </c>
      <c r="FX35" s="5"/>
      <c r="FY35" s="29">
        <f t="shared" si="51"/>
        <v>49888.25</v>
      </c>
      <c r="FZ35" s="5"/>
      <c r="GA35" s="29">
        <f t="shared" si="52"/>
        <v>5477686.4199999999</v>
      </c>
      <c r="GB35" s="5"/>
      <c r="GC35" s="29">
        <f t="shared" si="53"/>
        <v>0</v>
      </c>
      <c r="GD35" s="5"/>
      <c r="GE35" s="29">
        <f t="shared" si="53"/>
        <v>0</v>
      </c>
      <c r="GF35" s="5"/>
      <c r="GG35" s="29">
        <f t="shared" si="53"/>
        <v>0</v>
      </c>
      <c r="GH35" s="5"/>
      <c r="GI35" s="29">
        <f t="shared" si="54"/>
        <v>0</v>
      </c>
      <c r="GJ35" s="5"/>
      <c r="GK35" s="29">
        <f t="shared" si="55"/>
        <v>0</v>
      </c>
      <c r="GL35" s="5"/>
      <c r="GM35" s="29">
        <f t="shared" si="55"/>
        <v>0</v>
      </c>
      <c r="GN35" s="5"/>
      <c r="GO35" s="29">
        <f t="shared" si="56"/>
        <v>0</v>
      </c>
      <c r="GP35" s="5"/>
      <c r="GQ35" s="29">
        <f t="shared" si="57"/>
        <v>0</v>
      </c>
      <c r="GR35" s="5"/>
      <c r="GS35" s="29">
        <f t="shared" si="58"/>
        <v>0</v>
      </c>
      <c r="GT35" s="5"/>
      <c r="GU35" s="29">
        <f t="shared" si="58"/>
        <v>0</v>
      </c>
    </row>
    <row r="36" spans="1:203">
      <c r="A36" s="38" t="s">
        <v>113</v>
      </c>
      <c r="C36" s="29"/>
      <c r="E36" s="29"/>
      <c r="G36" s="29"/>
      <c r="I36" s="29">
        <v>0</v>
      </c>
      <c r="K36" s="29">
        <v>0</v>
      </c>
      <c r="M36" s="29">
        <v>0</v>
      </c>
      <c r="O36" s="29">
        <v>0</v>
      </c>
      <c r="Q36" s="29">
        <v>0</v>
      </c>
      <c r="S36" s="29">
        <v>0</v>
      </c>
      <c r="U36" s="29">
        <v>0</v>
      </c>
      <c r="W36" s="29">
        <v>0</v>
      </c>
      <c r="Y36" s="29">
        <v>0</v>
      </c>
      <c r="AA36" s="29">
        <v>0</v>
      </c>
      <c r="AC36" s="29">
        <v>0</v>
      </c>
      <c r="AE36" s="29">
        <v>0</v>
      </c>
      <c r="AG36" s="29">
        <v>0</v>
      </c>
      <c r="AI36" s="29">
        <v>0</v>
      </c>
      <c r="AK36" s="29">
        <v>0</v>
      </c>
      <c r="AM36" s="29">
        <v>0</v>
      </c>
      <c r="AO36" s="29">
        <v>0</v>
      </c>
      <c r="AQ36" s="29">
        <v>0</v>
      </c>
      <c r="AS36" s="29">
        <v>0</v>
      </c>
      <c r="AU36" s="29">
        <v>0</v>
      </c>
      <c r="AW36" s="29">
        <v>0</v>
      </c>
      <c r="AY36" s="29">
        <v>0</v>
      </c>
      <c r="BA36" s="29">
        <v>0</v>
      </c>
      <c r="BC36" s="29">
        <v>0</v>
      </c>
      <c r="BE36" s="29">
        <v>0</v>
      </c>
      <c r="BG36" s="29">
        <v>0</v>
      </c>
      <c r="BI36" s="29">
        <v>0</v>
      </c>
      <c r="BK36" s="29">
        <v>0</v>
      </c>
      <c r="BM36" s="29">
        <v>0</v>
      </c>
      <c r="BO36" s="29">
        <v>0</v>
      </c>
      <c r="BQ36" s="29">
        <v>0</v>
      </c>
      <c r="BS36" s="29">
        <v>0</v>
      </c>
      <c r="BU36" s="29">
        <v>0</v>
      </c>
      <c r="BW36" s="29">
        <v>0</v>
      </c>
      <c r="BY36" s="29">
        <v>0</v>
      </c>
      <c r="CA36" s="29">
        <v>0</v>
      </c>
      <c r="CC36" s="29">
        <v>0</v>
      </c>
      <c r="CE36" s="29">
        <v>0</v>
      </c>
      <c r="CG36" s="29">
        <v>0</v>
      </c>
      <c r="CI36" s="29">
        <v>0</v>
      </c>
      <c r="CK36" s="29">
        <v>0</v>
      </c>
      <c r="CM36" s="29">
        <v>0</v>
      </c>
      <c r="CO36" s="29">
        <v>0</v>
      </c>
      <c r="CQ36" s="29">
        <v>0</v>
      </c>
      <c r="CS36" s="29">
        <v>531958.90999999992</v>
      </c>
      <c r="CU36" s="29">
        <v>0</v>
      </c>
      <c r="CW36" s="29">
        <v>0</v>
      </c>
      <c r="CY36" s="29">
        <v>0</v>
      </c>
      <c r="DA36" s="29">
        <v>0</v>
      </c>
      <c r="DC36" s="29"/>
      <c r="DD36" s="5"/>
      <c r="DE36" s="29"/>
      <c r="DF36" s="5"/>
      <c r="DG36" s="29"/>
      <c r="DH36" s="5"/>
      <c r="DI36" s="29">
        <f t="shared" si="59"/>
        <v>0</v>
      </c>
      <c r="DJ36" s="5"/>
      <c r="DK36" s="29">
        <f t="shared" si="32"/>
        <v>0</v>
      </c>
      <c r="DL36" s="5"/>
      <c r="DM36" s="29">
        <f t="shared" si="32"/>
        <v>0</v>
      </c>
      <c r="DN36" s="5"/>
      <c r="DO36" s="29">
        <f t="shared" si="32"/>
        <v>0</v>
      </c>
      <c r="DP36" s="5"/>
      <c r="DQ36" s="29">
        <f t="shared" si="60"/>
        <v>0</v>
      </c>
      <c r="DR36" s="5"/>
      <c r="DS36" s="29">
        <f t="shared" si="34"/>
        <v>0</v>
      </c>
      <c r="DT36" s="5"/>
      <c r="DU36" s="29">
        <f t="shared" si="34"/>
        <v>0</v>
      </c>
      <c r="DV36" s="5"/>
      <c r="DW36" s="29">
        <f t="shared" si="34"/>
        <v>0</v>
      </c>
      <c r="DX36" s="5"/>
      <c r="DY36" s="29">
        <f t="shared" si="35"/>
        <v>0</v>
      </c>
      <c r="DZ36" s="5"/>
      <c r="EA36" s="29">
        <f t="shared" si="36"/>
        <v>0</v>
      </c>
      <c r="EB36" s="5"/>
      <c r="EC36" s="29">
        <f t="shared" si="36"/>
        <v>0</v>
      </c>
      <c r="ED36" s="5"/>
      <c r="EE36" s="29">
        <f t="shared" si="36"/>
        <v>0</v>
      </c>
      <c r="EF36" s="5"/>
      <c r="EG36" s="29">
        <f t="shared" si="37"/>
        <v>0</v>
      </c>
      <c r="EH36" s="5"/>
      <c r="EI36" s="29">
        <f t="shared" si="38"/>
        <v>0</v>
      </c>
      <c r="EJ36" s="5"/>
      <c r="EK36" s="29">
        <f t="shared" si="38"/>
        <v>0</v>
      </c>
      <c r="EL36" s="5"/>
      <c r="EM36" s="29">
        <f t="shared" si="38"/>
        <v>0</v>
      </c>
      <c r="EN36" s="5"/>
      <c r="EO36" s="29">
        <f t="shared" si="39"/>
        <v>0</v>
      </c>
      <c r="EP36" s="5"/>
      <c r="EQ36" s="29">
        <f t="shared" si="40"/>
        <v>0</v>
      </c>
      <c r="ER36" s="5"/>
      <c r="ES36" s="29">
        <f t="shared" si="41"/>
        <v>0</v>
      </c>
      <c r="ET36" s="5"/>
      <c r="EU36" s="29">
        <f t="shared" si="42"/>
        <v>0</v>
      </c>
      <c r="EV36" s="5"/>
      <c r="EW36" s="29">
        <f t="shared" si="43"/>
        <v>0</v>
      </c>
      <c r="EX36" s="5"/>
      <c r="EY36" s="29">
        <f t="shared" si="44"/>
        <v>0</v>
      </c>
      <c r="EZ36" s="5"/>
      <c r="FA36" s="29">
        <f t="shared" si="44"/>
        <v>0</v>
      </c>
      <c r="FB36" s="5"/>
      <c r="FC36" s="29">
        <f t="shared" si="44"/>
        <v>0</v>
      </c>
      <c r="FD36" s="5"/>
      <c r="FE36" s="29">
        <f t="shared" si="45"/>
        <v>0</v>
      </c>
      <c r="FF36" s="5"/>
      <c r="FG36" s="29">
        <v>0</v>
      </c>
      <c r="FH36" s="5"/>
      <c r="FI36" s="29">
        <f t="shared" si="46"/>
        <v>0</v>
      </c>
      <c r="FJ36" s="5"/>
      <c r="FK36" s="29">
        <f t="shared" si="46"/>
        <v>0</v>
      </c>
      <c r="FL36" s="5"/>
      <c r="FM36" s="29">
        <f t="shared" si="47"/>
        <v>0</v>
      </c>
      <c r="FN36" s="5"/>
      <c r="FO36" s="29">
        <f t="shared" si="48"/>
        <v>0</v>
      </c>
      <c r="FP36" s="5"/>
      <c r="FQ36" s="29">
        <f t="shared" si="49"/>
        <v>0</v>
      </c>
      <c r="FR36" s="5"/>
      <c r="FS36" s="29">
        <f t="shared" si="50"/>
        <v>0</v>
      </c>
      <c r="FT36" s="5"/>
      <c r="FU36" s="29">
        <f t="shared" si="51"/>
        <v>0</v>
      </c>
      <c r="FV36" s="5"/>
      <c r="FW36" s="29">
        <f t="shared" si="51"/>
        <v>0</v>
      </c>
      <c r="FX36" s="5"/>
      <c r="FY36" s="29">
        <f t="shared" si="51"/>
        <v>0</v>
      </c>
      <c r="FZ36" s="5"/>
      <c r="GA36" s="29">
        <f t="shared" si="52"/>
        <v>0</v>
      </c>
      <c r="GB36" s="5"/>
      <c r="GC36" s="29">
        <f t="shared" si="53"/>
        <v>0</v>
      </c>
      <c r="GD36" s="5"/>
      <c r="GE36" s="29">
        <f t="shared" si="53"/>
        <v>0</v>
      </c>
      <c r="GF36" s="5"/>
      <c r="GG36" s="29">
        <f t="shared" si="53"/>
        <v>0</v>
      </c>
      <c r="GH36" s="5"/>
      <c r="GI36" s="29">
        <f t="shared" si="54"/>
        <v>0</v>
      </c>
      <c r="GJ36" s="5"/>
      <c r="GK36" s="29">
        <f t="shared" si="55"/>
        <v>0</v>
      </c>
      <c r="GL36" s="5"/>
      <c r="GM36" s="29">
        <f t="shared" si="55"/>
        <v>0</v>
      </c>
      <c r="GN36" s="5"/>
      <c r="GO36" s="29">
        <f t="shared" si="56"/>
        <v>0</v>
      </c>
      <c r="GP36" s="5"/>
      <c r="GQ36" s="29">
        <f t="shared" si="57"/>
        <v>0</v>
      </c>
      <c r="GR36" s="5"/>
      <c r="GS36" s="29">
        <f t="shared" si="58"/>
        <v>531958.90999999992</v>
      </c>
      <c r="GT36" s="5"/>
      <c r="GU36" s="29">
        <f t="shared" si="58"/>
        <v>0</v>
      </c>
    </row>
    <row r="37" spans="1:203">
      <c r="A37" s="95" t="s">
        <v>114</v>
      </c>
      <c r="C37" s="29"/>
      <c r="E37" s="29"/>
      <c r="G37" s="29"/>
      <c r="I37" s="29"/>
      <c r="K37" s="29"/>
      <c r="M37" s="29"/>
      <c r="O37" s="29"/>
      <c r="Q37" s="29"/>
      <c r="S37" s="29"/>
      <c r="U37" s="29"/>
      <c r="W37" s="29"/>
      <c r="Y37" s="29"/>
      <c r="AA37" s="29"/>
      <c r="AC37" s="29"/>
      <c r="AE37" s="29"/>
      <c r="AG37" s="29"/>
      <c r="AI37" s="29"/>
      <c r="AK37" s="29"/>
      <c r="AM37" s="29"/>
      <c r="AO37" s="29"/>
      <c r="AQ37" s="29"/>
      <c r="AS37" s="29"/>
      <c r="AU37" s="29"/>
      <c r="AW37" s="29">
        <v>0</v>
      </c>
      <c r="AY37" s="29"/>
      <c r="BA37" s="29"/>
      <c r="BC37" s="29"/>
      <c r="BI37" s="29">
        <v>0</v>
      </c>
      <c r="CQ37" s="29"/>
      <c r="DC37" s="29"/>
      <c r="DE37" s="29"/>
      <c r="DG37" s="29"/>
      <c r="DK37" s="29"/>
      <c r="DM37" s="29"/>
      <c r="DO37" s="29"/>
      <c r="DS37" s="29">
        <f t="shared" si="34"/>
        <v>0</v>
      </c>
      <c r="DU37" s="29">
        <f t="shared" si="34"/>
        <v>0</v>
      </c>
      <c r="DW37" s="29">
        <f t="shared" si="34"/>
        <v>0</v>
      </c>
      <c r="EA37" s="29"/>
      <c r="EC37" s="29"/>
      <c r="EE37" s="29"/>
      <c r="EI37" s="29"/>
      <c r="EK37" s="29"/>
      <c r="EM37" s="29"/>
    </row>
    <row r="38" spans="1:203" ht="21.75" customHeight="1">
      <c r="A38" s="38" t="s">
        <v>115</v>
      </c>
      <c r="C38" s="29"/>
      <c r="E38" s="29"/>
      <c r="G38" s="29"/>
      <c r="I38" s="29">
        <v>-4671257.4471720401</v>
      </c>
      <c r="K38" s="29">
        <v>-44869844.144170403</v>
      </c>
      <c r="M38" s="29">
        <v>-23677213.619229361</v>
      </c>
      <c r="O38" s="29">
        <v>-10989806.278759141</v>
      </c>
      <c r="Q38" s="29">
        <v>-8590709.8865483869</v>
      </c>
      <c r="S38" s="29">
        <v>-9684999.1199999992</v>
      </c>
      <c r="U38" s="29">
        <v>-7701552.01634649</v>
      </c>
      <c r="W38" s="29">
        <v>-7411481.551134361</v>
      </c>
      <c r="Y38" s="29">
        <v>-6176418.9295945941</v>
      </c>
      <c r="AA38" s="29">
        <v>-10221565.907412512</v>
      </c>
      <c r="AC38" s="29">
        <v>-7994651.4888520464</v>
      </c>
      <c r="AE38" s="29">
        <v>-6831522.8289393084</v>
      </c>
      <c r="AG38" s="29">
        <v>-6272470.3415560508</v>
      </c>
      <c r="AI38" s="29">
        <v>-3430170.6223320309</v>
      </c>
      <c r="AK38" s="29">
        <v>-2286756.1524726036</v>
      </c>
      <c r="AM38" s="29">
        <v>-1562312.6463624658</v>
      </c>
      <c r="AO38" s="29">
        <v>-863038.22999999602</v>
      </c>
      <c r="AQ38" s="29">
        <v>-5114672.940023141</v>
      </c>
      <c r="AS38" s="29">
        <v>-3780624.2141496488</v>
      </c>
      <c r="AU38" s="29">
        <v>-2541282.6141496156</v>
      </c>
      <c r="AW38" s="29">
        <v>-1290234.6915652652</v>
      </c>
      <c r="AY38" s="29">
        <v>-5514066.7000000002</v>
      </c>
      <c r="BA38" s="29">
        <v>-4626152.8781150142</v>
      </c>
      <c r="BC38" s="29">
        <v>-2152985.198115</v>
      </c>
      <c r="BE38" s="29">
        <v>-949430.58000001509</v>
      </c>
      <c r="BG38" s="29">
        <v>-2374043.8321666513</v>
      </c>
      <c r="BI38" s="29">
        <v>-10077910.069999982</v>
      </c>
      <c r="BK38" s="29">
        <v>-8748866.7899999954</v>
      </c>
      <c r="BM38" s="29">
        <v>-6691001.1499999966</v>
      </c>
      <c r="BO38" s="29">
        <v>-5155562.1299999785</v>
      </c>
      <c r="BQ38" s="29">
        <v>-3761570.7699999996</v>
      </c>
      <c r="BS38" s="29">
        <v>-2035363.7399999998</v>
      </c>
      <c r="BU38" s="29">
        <v>-6981216.4900000002</v>
      </c>
      <c r="BW38" s="29">
        <v>-4785586.3500000006</v>
      </c>
      <c r="BY38" s="29">
        <v>-3883377.9400000004</v>
      </c>
      <c r="CA38" s="29">
        <v>-2521494.8600000003</v>
      </c>
      <c r="CC38" s="29">
        <v>-10580041.09000003</v>
      </c>
      <c r="CE38" s="29">
        <v>-7949336.5599999987</v>
      </c>
      <c r="CG38" s="29">
        <v>-5694750.6999999993</v>
      </c>
      <c r="CI38" s="29">
        <v>-3013083.5200000005</v>
      </c>
      <c r="CK38" s="29">
        <v>-15118381.244493594</v>
      </c>
      <c r="CM38" s="29">
        <v>-9377860.950000003</v>
      </c>
      <c r="CO38" s="29">
        <v>-8789396.8600000124</v>
      </c>
      <c r="CQ38" s="29">
        <v>-7177199.4000000032</v>
      </c>
      <c r="CS38" s="29">
        <v>-21638912.967709184</v>
      </c>
      <c r="CU38" s="29">
        <v>-7364639.4699999969</v>
      </c>
      <c r="CW38" s="29">
        <v>-6229621.2199999997</v>
      </c>
      <c r="CY38" s="29">
        <v>-3294499.1029707706</v>
      </c>
      <c r="DA38" s="29">
        <v>-14348386.25</v>
      </c>
      <c r="DC38" s="29"/>
      <c r="DD38" s="5"/>
      <c r="DE38" s="29"/>
      <c r="DF38" s="5"/>
      <c r="DG38" s="29"/>
      <c r="DH38" s="5"/>
      <c r="DI38" s="29">
        <f t="shared" ref="DI38:DI39" si="61">I38</f>
        <v>-4671257.4471720401</v>
      </c>
      <c r="DJ38" s="5"/>
      <c r="DK38" s="29">
        <f t="shared" ref="DK38:DO44" si="62">K38-M38</f>
        <v>-21192630.524941042</v>
      </c>
      <c r="DL38" s="5"/>
      <c r="DM38" s="29">
        <f t="shared" si="62"/>
        <v>-12687407.340470221</v>
      </c>
      <c r="DN38" s="5"/>
      <c r="DO38" s="29">
        <f t="shared" si="62"/>
        <v>-2399096.3922107536</v>
      </c>
      <c r="DP38" s="5"/>
      <c r="DQ38" s="29">
        <f t="shared" ref="DQ38:DQ39" si="63">Q38</f>
        <v>-8590709.8865483869</v>
      </c>
      <c r="DR38" s="5"/>
      <c r="DS38" s="29">
        <f t="shared" si="34"/>
        <v>-1983447.1036535092</v>
      </c>
      <c r="DT38" s="5"/>
      <c r="DU38" s="29">
        <f t="shared" si="34"/>
        <v>-290070.46521212906</v>
      </c>
      <c r="DV38" s="5"/>
      <c r="DW38" s="29">
        <f t="shared" si="34"/>
        <v>-1235062.6215397669</v>
      </c>
      <c r="DX38" s="5"/>
      <c r="DY38" s="29">
        <f t="shared" si="35"/>
        <v>-6176418.9295945941</v>
      </c>
      <c r="DZ38" s="5"/>
      <c r="EA38" s="29">
        <f t="shared" ref="EA38:EE44" si="64">AA38-AC38</f>
        <v>-2226914.4185604658</v>
      </c>
      <c r="EB38" s="5"/>
      <c r="EC38" s="29">
        <f t="shared" si="64"/>
        <v>-1163128.659912738</v>
      </c>
      <c r="ED38" s="5"/>
      <c r="EE38" s="29">
        <f t="shared" si="64"/>
        <v>-559052.4873832576</v>
      </c>
      <c r="EF38" s="5"/>
      <c r="EG38" s="29">
        <f t="shared" si="37"/>
        <v>-6272470.3415560508</v>
      </c>
      <c r="EH38" s="5"/>
      <c r="EI38" s="29">
        <f t="shared" si="38"/>
        <v>-1143414.4698594273</v>
      </c>
      <c r="EJ38" s="5"/>
      <c r="EK38" s="29">
        <f t="shared" si="38"/>
        <v>-724443.50611013779</v>
      </c>
      <c r="EL38" s="5"/>
      <c r="EM38" s="29">
        <f t="shared" si="38"/>
        <v>-699274.41636246978</v>
      </c>
      <c r="EN38" s="5"/>
      <c r="EO38" s="29">
        <f t="shared" ref="EO38:EO44" si="65">AO38</f>
        <v>-863038.22999999602</v>
      </c>
      <c r="EP38" s="5"/>
      <c r="EQ38" s="29">
        <f t="shared" ref="EQ38:EQ45" si="66">AQ38-AS38</f>
        <v>-1334048.7258734922</v>
      </c>
      <c r="ER38" s="5"/>
      <c r="ES38" s="29">
        <f t="shared" ref="ES38:ES45" si="67">AS38-AU38</f>
        <v>-1239341.6000000332</v>
      </c>
      <c r="ET38" s="5"/>
      <c r="EU38" s="29">
        <f t="shared" ref="EU38:EU45" si="68">AU38-AW38</f>
        <v>-1251047.9225843505</v>
      </c>
      <c r="EV38" s="5"/>
      <c r="EW38" s="29">
        <f t="shared" ref="EW38:EW45" si="69">AW38</f>
        <v>-1290234.6915652652</v>
      </c>
      <c r="EX38" s="5"/>
      <c r="EY38" s="29">
        <f t="shared" ref="EY38:FC45" si="70">AY38-BA38</f>
        <v>-887913.82188498601</v>
      </c>
      <c r="EZ38" s="5"/>
      <c r="FA38" s="29">
        <f t="shared" si="70"/>
        <v>-2473167.6800000141</v>
      </c>
      <c r="FB38" s="5"/>
      <c r="FC38" s="29">
        <f t="shared" si="70"/>
        <v>-1203554.6181149851</v>
      </c>
      <c r="FD38" s="5"/>
      <c r="FE38" s="29">
        <f t="shared" ref="FE38:FE45" si="71">BE38</f>
        <v>-949430.58000001509</v>
      </c>
      <c r="FF38" s="5"/>
      <c r="FG38" s="29">
        <v>-200575.54216667081</v>
      </c>
      <c r="FH38" s="5"/>
      <c r="FI38" s="29">
        <f t="shared" ref="FI38:FK45" si="72">BI38-BK38</f>
        <v>-1329043.2799999863</v>
      </c>
      <c r="FJ38" s="5"/>
      <c r="FK38" s="29">
        <f t="shared" si="72"/>
        <v>-2057865.6399999987</v>
      </c>
      <c r="FL38" s="5"/>
      <c r="FM38" s="29">
        <f t="shared" ref="FM38:FM45" si="73">BM38-BO38</f>
        <v>-1535439.0200000182</v>
      </c>
      <c r="FN38" s="5"/>
      <c r="FO38" s="29">
        <f t="shared" ref="FO38:FO45" si="74">BO38-BQ38</f>
        <v>-1393991.3599999789</v>
      </c>
      <c r="FP38" s="5"/>
      <c r="FQ38" s="29">
        <f t="shared" ref="FQ38:FQ45" si="75">BQ38-BS38</f>
        <v>-1726207.0299999998</v>
      </c>
      <c r="FR38" s="5"/>
      <c r="FS38" s="29">
        <f t="shared" ref="FS38:FS45" si="76">BS38</f>
        <v>-2035363.7399999998</v>
      </c>
      <c r="FT38" s="5"/>
      <c r="FU38" s="29">
        <f t="shared" ref="FU38:FY45" si="77">BU38-BW38</f>
        <v>-2195630.1399999997</v>
      </c>
      <c r="FV38" s="5"/>
      <c r="FW38" s="29">
        <f t="shared" si="77"/>
        <v>-902208.41000000015</v>
      </c>
      <c r="FX38" s="5"/>
      <c r="FY38" s="29">
        <f t="shared" si="77"/>
        <v>-1361883.08</v>
      </c>
      <c r="FZ38" s="5"/>
      <c r="GA38" s="29">
        <f t="shared" ref="GA38:GA45" si="78">CA38</f>
        <v>-2521494.8600000003</v>
      </c>
      <c r="GB38" s="5"/>
      <c r="GC38" s="29">
        <f t="shared" ref="GC38:GG45" si="79">CC38-CE38</f>
        <v>-2630704.530000031</v>
      </c>
      <c r="GD38" s="5"/>
      <c r="GE38" s="29">
        <f t="shared" si="79"/>
        <v>-2254585.8599999994</v>
      </c>
      <c r="GF38" s="5"/>
      <c r="GG38" s="29">
        <f t="shared" si="79"/>
        <v>-2681667.1799999988</v>
      </c>
      <c r="GH38" s="5"/>
      <c r="GI38" s="29">
        <f t="shared" ref="GI38:GI45" si="80">CI38</f>
        <v>-3013083.5200000005</v>
      </c>
      <c r="GJ38" s="5"/>
      <c r="GK38" s="29">
        <f t="shared" ref="GK38:GM45" si="81">CK38-CM38</f>
        <v>-5740520.2944935914</v>
      </c>
      <c r="GL38" s="5"/>
      <c r="GM38" s="29">
        <f t="shared" si="81"/>
        <v>-588464.08999999054</v>
      </c>
      <c r="GN38" s="5"/>
      <c r="GO38" s="29">
        <f t="shared" ref="GO38:GO45" si="82">CO38-CQ38</f>
        <v>-1612197.4600000093</v>
      </c>
      <c r="GP38" s="5"/>
      <c r="GQ38" s="29">
        <f t="shared" ref="GQ38:GQ45" si="83">CQ38</f>
        <v>-7177199.4000000032</v>
      </c>
      <c r="GR38" s="5"/>
      <c r="GS38" s="29">
        <f t="shared" ref="GS38:GU45" si="84">CS38-CU38</f>
        <v>-14274273.497709187</v>
      </c>
      <c r="GT38" s="5"/>
      <c r="GU38" s="29">
        <f t="shared" si="84"/>
        <v>-1135018.2499999972</v>
      </c>
    </row>
    <row r="39" spans="1:203">
      <c r="A39" s="38" t="s">
        <v>116</v>
      </c>
      <c r="C39" s="29"/>
      <c r="E39" s="29"/>
      <c r="G39" s="29"/>
      <c r="I39" s="29">
        <v>0</v>
      </c>
      <c r="K39" s="29">
        <v>0</v>
      </c>
      <c r="M39" s="29">
        <v>0</v>
      </c>
      <c r="O39" s="29">
        <v>0</v>
      </c>
      <c r="Q39" s="29">
        <v>0</v>
      </c>
      <c r="S39" s="29">
        <v>0</v>
      </c>
      <c r="U39" s="29">
        <v>0</v>
      </c>
      <c r="W39" s="29">
        <v>0</v>
      </c>
      <c r="Y39" s="29">
        <v>0</v>
      </c>
      <c r="AA39" s="29">
        <v>0</v>
      </c>
      <c r="AC39" s="29">
        <v>0</v>
      </c>
      <c r="AE39" s="29">
        <v>0</v>
      </c>
      <c r="AG39" s="29">
        <v>0</v>
      </c>
      <c r="AI39" s="29">
        <v>0</v>
      </c>
      <c r="AK39" s="29">
        <v>0</v>
      </c>
      <c r="AM39" s="29">
        <v>0</v>
      </c>
      <c r="AO39" s="29">
        <v>0</v>
      </c>
      <c r="AQ39" s="29">
        <v>0</v>
      </c>
      <c r="AS39" s="29">
        <v>0</v>
      </c>
      <c r="AU39" s="29">
        <v>0</v>
      </c>
      <c r="AW39" s="29">
        <v>0</v>
      </c>
      <c r="AY39" s="29">
        <v>0</v>
      </c>
      <c r="BA39" s="29">
        <v>0</v>
      </c>
      <c r="BC39" s="29">
        <v>0</v>
      </c>
      <c r="BE39" s="29">
        <v>0</v>
      </c>
      <c r="BG39" s="29">
        <v>0</v>
      </c>
      <c r="BI39" s="29">
        <v>0</v>
      </c>
      <c r="BK39" s="29">
        <v>0</v>
      </c>
      <c r="BM39" s="29">
        <v>0</v>
      </c>
      <c r="BO39" s="29">
        <v>0</v>
      </c>
      <c r="BQ39" s="29">
        <v>0</v>
      </c>
      <c r="BS39" s="29">
        <v>0</v>
      </c>
      <c r="BU39" s="29">
        <v>0</v>
      </c>
      <c r="BW39" s="29">
        <v>0</v>
      </c>
      <c r="BY39" s="29">
        <v>0</v>
      </c>
      <c r="CA39" s="29">
        <v>0</v>
      </c>
      <c r="CC39" s="29">
        <v>0</v>
      </c>
      <c r="CE39" s="29">
        <v>0</v>
      </c>
      <c r="CG39" s="29">
        <v>0</v>
      </c>
      <c r="CI39" s="29">
        <v>0</v>
      </c>
      <c r="CK39" s="29">
        <v>0</v>
      </c>
      <c r="CM39" s="29">
        <v>0</v>
      </c>
      <c r="CO39" s="29">
        <v>0</v>
      </c>
      <c r="CQ39" s="29">
        <v>0</v>
      </c>
      <c r="CS39" s="29">
        <v>0</v>
      </c>
      <c r="CU39" s="29">
        <v>0</v>
      </c>
      <c r="CW39" s="29">
        <v>0</v>
      </c>
      <c r="CY39" s="29">
        <v>0</v>
      </c>
      <c r="DA39" s="29">
        <v>0</v>
      </c>
      <c r="DC39" s="29"/>
      <c r="DD39" s="5"/>
      <c r="DE39" s="29"/>
      <c r="DF39" s="5"/>
      <c r="DG39" s="29"/>
      <c r="DH39" s="5"/>
      <c r="DI39" s="29">
        <f t="shared" si="61"/>
        <v>0</v>
      </c>
      <c r="DJ39" s="5"/>
      <c r="DK39" s="29">
        <f t="shared" si="62"/>
        <v>0</v>
      </c>
      <c r="DL39" s="5"/>
      <c r="DM39" s="29">
        <f t="shared" si="62"/>
        <v>0</v>
      </c>
      <c r="DN39" s="5"/>
      <c r="DO39" s="29">
        <f t="shared" si="62"/>
        <v>0</v>
      </c>
      <c r="DP39" s="5"/>
      <c r="DQ39" s="29">
        <f t="shared" si="63"/>
        <v>0</v>
      </c>
      <c r="DR39" s="5"/>
      <c r="DS39" s="29">
        <f t="shared" si="34"/>
        <v>0</v>
      </c>
      <c r="DT39" s="5"/>
      <c r="DU39" s="29">
        <f t="shared" si="34"/>
        <v>0</v>
      </c>
      <c r="DV39" s="5"/>
      <c r="DW39" s="29">
        <f t="shared" si="34"/>
        <v>0</v>
      </c>
      <c r="DX39" s="5"/>
      <c r="DY39" s="29">
        <f t="shared" si="35"/>
        <v>0</v>
      </c>
      <c r="DZ39" s="5"/>
      <c r="EA39" s="29">
        <f t="shared" si="64"/>
        <v>0</v>
      </c>
      <c r="EB39" s="5"/>
      <c r="EC39" s="29">
        <f t="shared" si="64"/>
        <v>0</v>
      </c>
      <c r="ED39" s="5"/>
      <c r="EE39" s="29">
        <f t="shared" si="64"/>
        <v>0</v>
      </c>
      <c r="EF39" s="5"/>
      <c r="EG39" s="29">
        <f t="shared" si="37"/>
        <v>0</v>
      </c>
      <c r="EH39" s="5"/>
      <c r="EI39" s="29">
        <f t="shared" si="38"/>
        <v>0</v>
      </c>
      <c r="EJ39" s="5"/>
      <c r="EK39" s="29">
        <f t="shared" si="38"/>
        <v>0</v>
      </c>
      <c r="EL39" s="5"/>
      <c r="EM39" s="29">
        <f t="shared" si="38"/>
        <v>0</v>
      </c>
      <c r="EN39" s="5"/>
      <c r="EO39" s="29">
        <f t="shared" si="65"/>
        <v>0</v>
      </c>
      <c r="EP39" s="5"/>
      <c r="EQ39" s="29">
        <f t="shared" si="66"/>
        <v>0</v>
      </c>
      <c r="ER39" s="5"/>
      <c r="ES39" s="29">
        <f t="shared" si="67"/>
        <v>0</v>
      </c>
      <c r="ET39" s="5"/>
      <c r="EU39" s="29">
        <f t="shared" si="68"/>
        <v>0</v>
      </c>
      <c r="EV39" s="5"/>
      <c r="EW39" s="29">
        <f t="shared" si="69"/>
        <v>0</v>
      </c>
      <c r="EX39" s="5"/>
      <c r="EY39" s="29">
        <f t="shared" si="70"/>
        <v>0</v>
      </c>
      <c r="EZ39" s="5"/>
      <c r="FA39" s="29">
        <f t="shared" si="70"/>
        <v>0</v>
      </c>
      <c r="FB39" s="5"/>
      <c r="FC39" s="29">
        <f t="shared" si="70"/>
        <v>0</v>
      </c>
      <c r="FD39" s="5"/>
      <c r="FE39" s="29">
        <f t="shared" si="71"/>
        <v>0</v>
      </c>
      <c r="FF39" s="5"/>
      <c r="FG39" s="29">
        <v>0</v>
      </c>
      <c r="FH39" s="5"/>
      <c r="FI39" s="29">
        <f t="shared" si="72"/>
        <v>0</v>
      </c>
      <c r="FJ39" s="5"/>
      <c r="FK39" s="29">
        <f t="shared" si="72"/>
        <v>0</v>
      </c>
      <c r="FL39" s="5"/>
      <c r="FM39" s="29">
        <f t="shared" si="73"/>
        <v>0</v>
      </c>
      <c r="FN39" s="5"/>
      <c r="FO39" s="29">
        <f t="shared" si="74"/>
        <v>0</v>
      </c>
      <c r="FP39" s="5"/>
      <c r="FQ39" s="29">
        <f t="shared" si="75"/>
        <v>0</v>
      </c>
      <c r="FR39" s="5"/>
      <c r="FS39" s="29">
        <f t="shared" si="76"/>
        <v>0</v>
      </c>
      <c r="FT39" s="5"/>
      <c r="FU39" s="29">
        <f t="shared" si="77"/>
        <v>0</v>
      </c>
      <c r="FV39" s="5"/>
      <c r="FW39" s="29">
        <f t="shared" si="77"/>
        <v>0</v>
      </c>
      <c r="FX39" s="5"/>
      <c r="FY39" s="29">
        <f t="shared" si="77"/>
        <v>0</v>
      </c>
      <c r="FZ39" s="5"/>
      <c r="GA39" s="29">
        <f t="shared" si="78"/>
        <v>0</v>
      </c>
      <c r="GB39" s="5"/>
      <c r="GC39" s="29">
        <f t="shared" si="79"/>
        <v>0</v>
      </c>
      <c r="GD39" s="5"/>
      <c r="GE39" s="29">
        <f t="shared" si="79"/>
        <v>0</v>
      </c>
      <c r="GF39" s="5"/>
      <c r="GG39" s="29">
        <f t="shared" si="79"/>
        <v>0</v>
      </c>
      <c r="GH39" s="5"/>
      <c r="GI39" s="29">
        <f t="shared" si="80"/>
        <v>0</v>
      </c>
      <c r="GJ39" s="5"/>
      <c r="GK39" s="29">
        <f t="shared" si="81"/>
        <v>0</v>
      </c>
      <c r="GL39" s="5"/>
      <c r="GM39" s="29">
        <f t="shared" si="81"/>
        <v>0</v>
      </c>
      <c r="GN39" s="5"/>
      <c r="GO39" s="29">
        <f t="shared" si="82"/>
        <v>0</v>
      </c>
      <c r="GP39" s="5"/>
      <c r="GQ39" s="29">
        <f t="shared" si="83"/>
        <v>0</v>
      </c>
      <c r="GR39" s="5"/>
      <c r="GS39" s="29">
        <f t="shared" si="84"/>
        <v>0</v>
      </c>
      <c r="GT39" s="5"/>
      <c r="GU39" s="29">
        <f t="shared" si="84"/>
        <v>0</v>
      </c>
    </row>
    <row r="40" spans="1:203" hidden="1">
      <c r="A40" s="38" t="s">
        <v>117</v>
      </c>
      <c r="C40" s="29"/>
      <c r="E40" s="29"/>
      <c r="G40" s="29"/>
      <c r="I40" s="29"/>
      <c r="K40" s="29"/>
      <c r="M40" s="29"/>
      <c r="O40" s="29"/>
      <c r="Q40" s="29"/>
      <c r="S40" s="29"/>
      <c r="U40" s="29"/>
      <c r="W40" s="29">
        <v>-200000</v>
      </c>
      <c r="Y40" s="29"/>
      <c r="AA40" s="29">
        <v>-1196201.56</v>
      </c>
      <c r="AC40" s="29">
        <v>-400000</v>
      </c>
      <c r="AE40" s="29">
        <v>-400000</v>
      </c>
      <c r="AG40" s="29">
        <v>-497049.52999999991</v>
      </c>
      <c r="AI40" s="29">
        <f>SUM(AI41:AI43)</f>
        <v>-1863500</v>
      </c>
      <c r="AK40" s="29">
        <v>-1863500</v>
      </c>
      <c r="AM40" s="29">
        <v>-1763500</v>
      </c>
      <c r="AO40" s="29">
        <v>-447500</v>
      </c>
      <c r="AQ40" s="29">
        <v>-299999.99999999983</v>
      </c>
      <c r="AS40" s="29">
        <v>-300000.00000000047</v>
      </c>
      <c r="AU40" s="29">
        <v>-299999.99999999919</v>
      </c>
      <c r="AW40" s="29">
        <v>-99999.999999999767</v>
      </c>
      <c r="AY40" s="29">
        <v>-2385000.0000000005</v>
      </c>
      <c r="BA40" s="29">
        <v>-2185000.7799999998</v>
      </c>
      <c r="BC40" s="29">
        <v>-1985000</v>
      </c>
      <c r="BE40" s="29">
        <v>-1200000</v>
      </c>
      <c r="BG40" s="29">
        <v>-14806882.494999999</v>
      </c>
      <c r="BI40" s="29">
        <v>-14863373.199999999</v>
      </c>
      <c r="BK40" s="29">
        <v>-14846241.404999999</v>
      </c>
      <c r="BM40" s="29">
        <v>-63491.845000000205</v>
      </c>
      <c r="BO40" s="29">
        <v>0</v>
      </c>
      <c r="BQ40" s="29">
        <v>0</v>
      </c>
      <c r="BS40" s="29">
        <f>SUM(BS41:BS43)</f>
        <v>0.61499999988824128</v>
      </c>
      <c r="BU40" s="29">
        <f>SUM(BU41:BU43)</f>
        <v>-196370.93999999994</v>
      </c>
      <c r="BW40" s="29">
        <f>SUM(BW41:BW43)</f>
        <v>232.64500000001863</v>
      </c>
      <c r="BY40" s="29">
        <v>232.64500000001863</v>
      </c>
      <c r="CA40" s="29">
        <v>-4.999999888241291E-3</v>
      </c>
      <c r="CC40" s="29">
        <f>SUM(CC41:CC43)</f>
        <v>-1048134.425</v>
      </c>
      <c r="CE40" s="29">
        <f>SUM(CE41:CE43)</f>
        <v>-1049750.45</v>
      </c>
      <c r="CG40" s="29">
        <v>-749880.75</v>
      </c>
      <c r="CI40" s="29">
        <v>-750000</v>
      </c>
      <c r="CK40" s="29">
        <v>-149989</v>
      </c>
      <c r="CM40" s="29">
        <v>-152500</v>
      </c>
      <c r="CO40" s="29">
        <v>0</v>
      </c>
      <c r="CQ40" s="29">
        <v>0</v>
      </c>
      <c r="CS40" s="29">
        <v>0</v>
      </c>
      <c r="CU40" s="29">
        <v>-55000.000000000204</v>
      </c>
      <c r="CW40" s="29">
        <v>-39999.999999999964</v>
      </c>
      <c r="CY40" s="29">
        <f>SUM(CY41:CY43)</f>
        <v>-531567.66999999993</v>
      </c>
      <c r="DA40" s="29">
        <f>SUM(DA41:DA43)</f>
        <v>-2500</v>
      </c>
      <c r="DC40" s="29"/>
      <c r="DD40" s="5"/>
      <c r="DE40" s="29"/>
      <c r="DF40" s="5"/>
      <c r="DG40" s="29"/>
      <c r="DH40" s="5"/>
      <c r="DI40" s="29"/>
      <c r="DJ40" s="5"/>
      <c r="DK40" s="29">
        <f t="shared" si="62"/>
        <v>0</v>
      </c>
      <c r="DL40" s="5"/>
      <c r="DM40" s="29">
        <f t="shared" si="62"/>
        <v>0</v>
      </c>
      <c r="DN40" s="5"/>
      <c r="DO40" s="29">
        <f t="shared" si="62"/>
        <v>0</v>
      </c>
      <c r="DP40" s="5"/>
      <c r="DQ40" s="29"/>
      <c r="DR40" s="5"/>
      <c r="DS40" s="29">
        <f t="shared" si="34"/>
        <v>0</v>
      </c>
      <c r="DT40" s="5"/>
      <c r="DU40" s="29">
        <f t="shared" si="34"/>
        <v>200000</v>
      </c>
      <c r="DV40" s="5"/>
      <c r="DW40" s="29">
        <f t="shared" si="34"/>
        <v>-200000</v>
      </c>
      <c r="DX40" s="5"/>
      <c r="DY40" s="29">
        <f t="shared" si="35"/>
        <v>0</v>
      </c>
      <c r="DZ40" s="5"/>
      <c r="EA40" s="29">
        <f t="shared" si="64"/>
        <v>-796201.56</v>
      </c>
      <c r="EB40" s="5"/>
      <c r="EC40" s="29">
        <f t="shared" si="64"/>
        <v>0</v>
      </c>
      <c r="ED40" s="5"/>
      <c r="EE40" s="29">
        <f t="shared" si="64"/>
        <v>97049.529999999912</v>
      </c>
      <c r="EF40" s="5"/>
      <c r="EG40" s="29">
        <f t="shared" si="37"/>
        <v>-497049.52999999991</v>
      </c>
      <c r="EH40" s="5"/>
      <c r="EI40" s="29">
        <f t="shared" si="38"/>
        <v>0</v>
      </c>
      <c r="EJ40" s="5"/>
      <c r="EK40" s="29">
        <f t="shared" si="38"/>
        <v>-100000</v>
      </c>
      <c r="EL40" s="5"/>
      <c r="EM40" s="29">
        <f t="shared" si="38"/>
        <v>-1316000</v>
      </c>
      <c r="EN40" s="5"/>
      <c r="EO40" s="29">
        <f t="shared" si="65"/>
        <v>-447500</v>
      </c>
      <c r="EP40" s="5"/>
      <c r="EQ40" s="29">
        <f t="shared" si="66"/>
        <v>6.4028427004814148E-10</v>
      </c>
      <c r="ER40" s="5"/>
      <c r="ES40" s="29">
        <f t="shared" si="67"/>
        <v>-1.280568540096283E-9</v>
      </c>
      <c r="ET40" s="5"/>
      <c r="EU40" s="29">
        <f t="shared" si="68"/>
        <v>-199999.99999999942</v>
      </c>
      <c r="EV40" s="5"/>
      <c r="EW40" s="29">
        <f t="shared" si="69"/>
        <v>-99999.999999999767</v>
      </c>
      <c r="EX40" s="5"/>
      <c r="EY40" s="29">
        <f t="shared" si="70"/>
        <v>-199999.22000000067</v>
      </c>
      <c r="EZ40" s="5"/>
      <c r="FA40" s="29">
        <f t="shared" si="70"/>
        <v>-200000.7799999998</v>
      </c>
      <c r="FB40" s="5"/>
      <c r="FC40" s="29">
        <f t="shared" si="70"/>
        <v>-785000</v>
      </c>
      <c r="FD40" s="5"/>
      <c r="FE40" s="29">
        <f t="shared" si="71"/>
        <v>-1200000</v>
      </c>
      <c r="FF40" s="5"/>
      <c r="FG40" s="29">
        <v>0</v>
      </c>
      <c r="FH40" s="5"/>
      <c r="FI40" s="29">
        <f t="shared" si="72"/>
        <v>-17131.794999999925</v>
      </c>
      <c r="FJ40" s="5"/>
      <c r="FK40" s="29">
        <f t="shared" si="72"/>
        <v>-14782749.559999999</v>
      </c>
      <c r="FL40" s="5"/>
      <c r="FM40" s="29">
        <f t="shared" si="73"/>
        <v>-63491.845000000205</v>
      </c>
      <c r="FN40" s="5"/>
      <c r="FO40" s="29">
        <f t="shared" si="74"/>
        <v>0</v>
      </c>
      <c r="FP40" s="5"/>
      <c r="FQ40" s="29">
        <f t="shared" si="75"/>
        <v>-0.61499999988824128</v>
      </c>
      <c r="FR40" s="5"/>
      <c r="FS40" s="29">
        <f t="shared" si="76"/>
        <v>0.61499999988824128</v>
      </c>
      <c r="FT40" s="5"/>
      <c r="FU40" s="29">
        <f t="shared" si="77"/>
        <v>-196603.58499999996</v>
      </c>
      <c r="FV40" s="5"/>
      <c r="FW40" s="29">
        <f t="shared" si="77"/>
        <v>0</v>
      </c>
      <c r="FX40" s="5"/>
      <c r="FY40" s="29">
        <f t="shared" si="77"/>
        <v>232.64999999990687</v>
      </c>
      <c r="FZ40" s="5"/>
      <c r="GA40" s="29">
        <f t="shared" si="78"/>
        <v>-4.999999888241291E-3</v>
      </c>
      <c r="GB40" s="5"/>
      <c r="GC40" s="29">
        <f t="shared" si="79"/>
        <v>1616.0249999999069</v>
      </c>
      <c r="GD40" s="5"/>
      <c r="GE40" s="29">
        <f t="shared" si="79"/>
        <v>-299869.69999999995</v>
      </c>
      <c r="GF40" s="5"/>
      <c r="GG40" s="29">
        <f t="shared" si="79"/>
        <v>119.25</v>
      </c>
      <c r="GH40" s="5"/>
      <c r="GI40" s="29">
        <f t="shared" si="80"/>
        <v>-750000</v>
      </c>
      <c r="GJ40" s="5"/>
      <c r="GK40" s="29">
        <f t="shared" si="81"/>
        <v>2511</v>
      </c>
      <c r="GL40" s="5"/>
      <c r="GM40" s="29">
        <f t="shared" si="81"/>
        <v>-152500</v>
      </c>
      <c r="GN40" s="5"/>
      <c r="GO40" s="29">
        <f t="shared" si="82"/>
        <v>0</v>
      </c>
      <c r="GP40" s="5"/>
      <c r="GQ40" s="29">
        <f t="shared" si="83"/>
        <v>0</v>
      </c>
      <c r="GR40" s="5"/>
      <c r="GS40" s="29">
        <f t="shared" si="84"/>
        <v>55000.000000000204</v>
      </c>
      <c r="GT40" s="5"/>
      <c r="GU40" s="29">
        <f t="shared" si="84"/>
        <v>-15000.00000000024</v>
      </c>
    </row>
    <row r="41" spans="1:203">
      <c r="A41" s="38" t="s">
        <v>309</v>
      </c>
      <c r="C41" s="29"/>
      <c r="E41" s="29"/>
      <c r="G41" s="29"/>
      <c r="I41" s="29">
        <v>0</v>
      </c>
      <c r="K41" s="29">
        <v>0</v>
      </c>
      <c r="M41" s="29">
        <v>0</v>
      </c>
      <c r="O41" s="29">
        <v>0</v>
      </c>
      <c r="Q41" s="29">
        <v>0</v>
      </c>
      <c r="S41" s="29">
        <v>0</v>
      </c>
      <c r="U41" s="29">
        <v>0</v>
      </c>
      <c r="W41" s="29">
        <v>0</v>
      </c>
      <c r="Y41" s="29">
        <v>0</v>
      </c>
      <c r="AA41" s="29">
        <v>0</v>
      </c>
      <c r="AC41" s="29">
        <v>0</v>
      </c>
      <c r="AE41" s="29">
        <v>0</v>
      </c>
      <c r="AG41" s="29">
        <v>-18979.999999999884</v>
      </c>
      <c r="AI41" s="29">
        <v>0</v>
      </c>
      <c r="AK41" s="29">
        <v>0</v>
      </c>
      <c r="AM41" s="29">
        <v>0</v>
      </c>
      <c r="AO41" s="29">
        <v>0</v>
      </c>
      <c r="AQ41" s="29">
        <v>0</v>
      </c>
      <c r="AS41" s="29">
        <v>0</v>
      </c>
      <c r="AU41" s="29">
        <v>0</v>
      </c>
      <c r="AW41" s="29">
        <v>0</v>
      </c>
      <c r="AY41" s="29">
        <v>0</v>
      </c>
      <c r="BA41" s="29">
        <v>0</v>
      </c>
      <c r="BC41" s="29">
        <v>0</v>
      </c>
      <c r="BE41" s="29">
        <v>0</v>
      </c>
      <c r="BG41" s="29">
        <v>-14806882.5</v>
      </c>
      <c r="BI41" s="29">
        <v>-14806882.5</v>
      </c>
      <c r="BK41" s="29">
        <v>-14806882.5</v>
      </c>
      <c r="BM41" s="29">
        <v>0</v>
      </c>
      <c r="BO41" s="29">
        <v>0</v>
      </c>
      <c r="BQ41" s="29">
        <v>0</v>
      </c>
      <c r="BS41" s="29">
        <v>0</v>
      </c>
      <c r="BU41" s="29">
        <v>0</v>
      </c>
      <c r="BW41" s="29">
        <v>0</v>
      </c>
      <c r="BY41" s="29">
        <v>0</v>
      </c>
      <c r="CA41" s="29">
        <v>0</v>
      </c>
      <c r="CC41" s="29">
        <v>0</v>
      </c>
      <c r="CE41" s="29">
        <v>0</v>
      </c>
      <c r="CG41" s="29">
        <v>0</v>
      </c>
      <c r="CI41" s="29">
        <v>0</v>
      </c>
      <c r="CK41" s="29">
        <v>0</v>
      </c>
      <c r="CM41" s="29">
        <v>0</v>
      </c>
      <c r="CO41" s="29">
        <v>0</v>
      </c>
      <c r="CQ41" s="29">
        <v>0</v>
      </c>
      <c r="CS41" s="29">
        <v>0</v>
      </c>
      <c r="CU41" s="29">
        <v>0</v>
      </c>
      <c r="CW41" s="29">
        <v>0</v>
      </c>
      <c r="CY41" s="29">
        <v>0</v>
      </c>
      <c r="DA41" s="29">
        <v>0</v>
      </c>
      <c r="DC41" s="29"/>
      <c r="DD41" s="5"/>
      <c r="DE41" s="29"/>
      <c r="DF41" s="5"/>
      <c r="DG41" s="29"/>
      <c r="DH41" s="5"/>
      <c r="DI41" s="29">
        <f t="shared" ref="DI41:DI44" si="85">I41</f>
        <v>0</v>
      </c>
      <c r="DJ41" s="5"/>
      <c r="DK41" s="29">
        <f t="shared" si="62"/>
        <v>0</v>
      </c>
      <c r="DL41" s="5"/>
      <c r="DM41" s="29">
        <f t="shared" si="62"/>
        <v>0</v>
      </c>
      <c r="DN41" s="5"/>
      <c r="DO41" s="29">
        <f t="shared" si="62"/>
        <v>0</v>
      </c>
      <c r="DP41" s="5"/>
      <c r="DQ41" s="29">
        <f t="shared" ref="DQ41:DQ44" si="86">Q41</f>
        <v>0</v>
      </c>
      <c r="DR41" s="5"/>
      <c r="DS41" s="29">
        <f t="shared" si="34"/>
        <v>0</v>
      </c>
      <c r="DT41" s="5"/>
      <c r="DU41" s="29">
        <f t="shared" si="34"/>
        <v>0</v>
      </c>
      <c r="DV41" s="5"/>
      <c r="DW41" s="29">
        <f t="shared" si="34"/>
        <v>0</v>
      </c>
      <c r="DX41" s="5"/>
      <c r="DY41" s="29">
        <f t="shared" si="35"/>
        <v>0</v>
      </c>
      <c r="DZ41" s="5"/>
      <c r="EA41" s="29">
        <f t="shared" si="64"/>
        <v>0</v>
      </c>
      <c r="EB41" s="5"/>
      <c r="EC41" s="29">
        <f t="shared" si="64"/>
        <v>0</v>
      </c>
      <c r="ED41" s="5"/>
      <c r="EE41" s="29">
        <f t="shared" si="64"/>
        <v>18979.999999999884</v>
      </c>
      <c r="EF41" s="5"/>
      <c r="EG41" s="29">
        <f t="shared" si="37"/>
        <v>-18979.999999999884</v>
      </c>
      <c r="EH41" s="5"/>
      <c r="EI41" s="29">
        <f t="shared" si="38"/>
        <v>0</v>
      </c>
      <c r="EJ41" s="5"/>
      <c r="EK41" s="29">
        <f t="shared" si="38"/>
        <v>0</v>
      </c>
      <c r="EL41" s="5"/>
      <c r="EM41" s="29">
        <f t="shared" si="38"/>
        <v>0</v>
      </c>
      <c r="EN41" s="5"/>
      <c r="EO41" s="29">
        <f t="shared" si="65"/>
        <v>0</v>
      </c>
      <c r="EP41" s="5"/>
      <c r="EQ41" s="29">
        <f t="shared" si="66"/>
        <v>0</v>
      </c>
      <c r="ER41" s="5"/>
      <c r="ES41" s="29">
        <f t="shared" si="67"/>
        <v>0</v>
      </c>
      <c r="ET41" s="5"/>
      <c r="EU41" s="29">
        <f t="shared" si="68"/>
        <v>0</v>
      </c>
      <c r="EV41" s="5"/>
      <c r="EW41" s="29">
        <f t="shared" si="69"/>
        <v>0</v>
      </c>
      <c r="EX41" s="5"/>
      <c r="EY41" s="29">
        <f t="shared" si="70"/>
        <v>0</v>
      </c>
      <c r="EZ41" s="5"/>
      <c r="FA41" s="29">
        <f t="shared" si="70"/>
        <v>0</v>
      </c>
      <c r="FB41" s="5"/>
      <c r="FC41" s="29">
        <f t="shared" si="70"/>
        <v>0</v>
      </c>
      <c r="FD41" s="5"/>
      <c r="FE41" s="29">
        <f t="shared" si="71"/>
        <v>0</v>
      </c>
      <c r="FF41" s="5"/>
      <c r="FG41" s="29">
        <v>0</v>
      </c>
      <c r="FH41" s="5"/>
      <c r="FI41" s="29">
        <f t="shared" si="72"/>
        <v>0</v>
      </c>
      <c r="FJ41" s="5"/>
      <c r="FK41" s="29">
        <f t="shared" si="72"/>
        <v>-14806882.5</v>
      </c>
      <c r="FL41" s="5"/>
      <c r="FM41" s="29">
        <f t="shared" si="73"/>
        <v>0</v>
      </c>
      <c r="FN41" s="5"/>
      <c r="FO41" s="29">
        <f t="shared" si="74"/>
        <v>0</v>
      </c>
      <c r="FP41" s="5"/>
      <c r="FQ41" s="29">
        <f t="shared" si="75"/>
        <v>0</v>
      </c>
      <c r="FR41" s="5"/>
      <c r="FS41" s="29">
        <f t="shared" si="76"/>
        <v>0</v>
      </c>
      <c r="FT41" s="5"/>
      <c r="FU41" s="29">
        <f>BU41-BW41</f>
        <v>0</v>
      </c>
      <c r="FV41" s="5"/>
      <c r="FW41" s="29">
        <f>BW41-BY41</f>
        <v>0</v>
      </c>
      <c r="FX41" s="5"/>
      <c r="FY41" s="29">
        <f t="shared" si="77"/>
        <v>0</v>
      </c>
      <c r="FZ41" s="5"/>
      <c r="GA41" s="29">
        <f t="shared" si="78"/>
        <v>0</v>
      </c>
      <c r="GB41" s="5"/>
      <c r="GC41" s="29">
        <f t="shared" si="79"/>
        <v>0</v>
      </c>
      <c r="GD41" s="5"/>
      <c r="GE41" s="29">
        <f t="shared" si="79"/>
        <v>0</v>
      </c>
      <c r="GF41" s="5"/>
      <c r="GG41" s="29">
        <f t="shared" si="79"/>
        <v>0</v>
      </c>
      <c r="GH41" s="5"/>
      <c r="GI41" s="29">
        <f t="shared" si="80"/>
        <v>0</v>
      </c>
      <c r="GJ41" s="5"/>
      <c r="GK41" s="29">
        <f t="shared" si="81"/>
        <v>0</v>
      </c>
      <c r="GL41" s="5"/>
      <c r="GM41" s="29">
        <f t="shared" si="81"/>
        <v>0</v>
      </c>
      <c r="GN41" s="5"/>
      <c r="GO41" s="29">
        <f t="shared" si="82"/>
        <v>0</v>
      </c>
      <c r="GP41" s="5"/>
      <c r="GQ41" s="29">
        <f t="shared" si="83"/>
        <v>0</v>
      </c>
      <c r="GR41" s="5"/>
      <c r="GS41" s="29">
        <f t="shared" si="84"/>
        <v>0</v>
      </c>
      <c r="GT41" s="5"/>
      <c r="GU41" s="29">
        <f t="shared" si="84"/>
        <v>0</v>
      </c>
    </row>
    <row r="42" spans="1:203">
      <c r="A42" s="38" t="s">
        <v>15</v>
      </c>
      <c r="C42" s="29"/>
      <c r="E42" s="29"/>
      <c r="G42" s="29"/>
      <c r="I42" s="29">
        <v>0</v>
      </c>
      <c r="K42" s="29">
        <v>0</v>
      </c>
      <c r="M42" s="29">
        <v>0</v>
      </c>
      <c r="O42" s="29">
        <v>0</v>
      </c>
      <c r="Q42" s="29">
        <v>0</v>
      </c>
      <c r="S42" s="29">
        <v>-200000</v>
      </c>
      <c r="U42" s="29">
        <v>-200000</v>
      </c>
      <c r="W42" s="29">
        <v>-200000</v>
      </c>
      <c r="Y42" s="29">
        <v>-200000</v>
      </c>
      <c r="AA42" s="29">
        <v>-1196201.56</v>
      </c>
      <c r="AC42" s="29">
        <v>-400000</v>
      </c>
      <c r="AE42" s="29">
        <v>-400000</v>
      </c>
      <c r="AG42" s="29">
        <v>-478069.52999999997</v>
      </c>
      <c r="AI42" s="29">
        <v>-1863500</v>
      </c>
      <c r="AK42" s="29">
        <v>-1863500</v>
      </c>
      <c r="AM42" s="29">
        <v>-1763500</v>
      </c>
      <c r="AO42" s="29">
        <v>-447500</v>
      </c>
      <c r="AQ42" s="29">
        <v>-299999.99999999983</v>
      </c>
      <c r="AS42" s="29">
        <v>-300000.00000000047</v>
      </c>
      <c r="AU42" s="29">
        <v>-299999.99999999919</v>
      </c>
      <c r="AW42" s="29">
        <v>-99999.999999999767</v>
      </c>
      <c r="AY42" s="29">
        <v>-2385000.0000000005</v>
      </c>
      <c r="BA42" s="29">
        <v>-2185000.7799999998</v>
      </c>
      <c r="BC42" s="29">
        <v>-1985000</v>
      </c>
      <c r="BE42" s="29">
        <v>-1200000</v>
      </c>
      <c r="BG42" s="29">
        <v>0</v>
      </c>
      <c r="BI42" s="29">
        <v>0</v>
      </c>
      <c r="BK42" s="29">
        <v>0</v>
      </c>
      <c r="BM42" s="29">
        <v>0</v>
      </c>
      <c r="BO42" s="29">
        <v>0</v>
      </c>
      <c r="BQ42" s="29">
        <v>0</v>
      </c>
      <c r="BS42" s="29">
        <v>0</v>
      </c>
      <c r="BU42" s="29">
        <v>0</v>
      </c>
      <c r="BW42" s="29">
        <v>0</v>
      </c>
      <c r="BY42" s="29">
        <v>0</v>
      </c>
      <c r="CA42" s="29">
        <v>0</v>
      </c>
      <c r="CC42" s="29">
        <v>0</v>
      </c>
      <c r="CE42" s="29">
        <v>0</v>
      </c>
      <c r="CG42" s="29">
        <v>0</v>
      </c>
      <c r="CI42" s="29">
        <v>0</v>
      </c>
      <c r="CK42" s="29">
        <v>0</v>
      </c>
      <c r="CM42" s="29">
        <v>0</v>
      </c>
      <c r="CO42" s="29">
        <v>0</v>
      </c>
      <c r="CQ42" s="29">
        <v>0</v>
      </c>
      <c r="CS42" s="29">
        <v>0</v>
      </c>
      <c r="CU42" s="29">
        <v>-55000.000000000204</v>
      </c>
      <c r="CW42" s="29">
        <v>-39999.999999999964</v>
      </c>
      <c r="CY42" s="29">
        <v>-20000</v>
      </c>
      <c r="DA42" s="29">
        <v>0</v>
      </c>
      <c r="DC42" s="29"/>
      <c r="DD42" s="5"/>
      <c r="DE42" s="29"/>
      <c r="DF42" s="5"/>
      <c r="DG42" s="29"/>
      <c r="DH42" s="5"/>
      <c r="DI42" s="29">
        <f t="shared" si="85"/>
        <v>0</v>
      </c>
      <c r="DJ42" s="5"/>
      <c r="DK42" s="29">
        <f t="shared" si="62"/>
        <v>0</v>
      </c>
      <c r="DL42" s="5"/>
      <c r="DM42" s="29">
        <f t="shared" si="62"/>
        <v>0</v>
      </c>
      <c r="DN42" s="5"/>
      <c r="DO42" s="29">
        <f t="shared" si="62"/>
        <v>0</v>
      </c>
      <c r="DP42" s="5"/>
      <c r="DQ42" s="29">
        <f t="shared" si="86"/>
        <v>0</v>
      </c>
      <c r="DR42" s="5"/>
      <c r="DS42" s="29">
        <f t="shared" si="34"/>
        <v>0</v>
      </c>
      <c r="DT42" s="5"/>
      <c r="DU42" s="29">
        <f t="shared" si="34"/>
        <v>0</v>
      </c>
      <c r="DV42" s="5"/>
      <c r="DW42" s="29">
        <f t="shared" si="34"/>
        <v>0</v>
      </c>
      <c r="DX42" s="5"/>
      <c r="DY42" s="29">
        <f t="shared" si="35"/>
        <v>-200000</v>
      </c>
      <c r="DZ42" s="5"/>
      <c r="EA42" s="29">
        <f t="shared" si="64"/>
        <v>-796201.56</v>
      </c>
      <c r="EB42" s="5"/>
      <c r="EC42" s="29">
        <f t="shared" si="64"/>
        <v>0</v>
      </c>
      <c r="ED42" s="5"/>
      <c r="EE42" s="29">
        <f t="shared" si="64"/>
        <v>78069.52999999997</v>
      </c>
      <c r="EF42" s="5"/>
      <c r="EG42" s="29">
        <f t="shared" si="37"/>
        <v>-478069.52999999997</v>
      </c>
      <c r="EH42" s="5"/>
      <c r="EI42" s="29">
        <f t="shared" si="38"/>
        <v>0</v>
      </c>
      <c r="EJ42" s="5"/>
      <c r="EK42" s="29">
        <f t="shared" si="38"/>
        <v>-100000</v>
      </c>
      <c r="EL42" s="5"/>
      <c r="EM42" s="29">
        <f t="shared" si="38"/>
        <v>-1316000</v>
      </c>
      <c r="EN42" s="5"/>
      <c r="EO42" s="29">
        <f t="shared" si="65"/>
        <v>-447500</v>
      </c>
      <c r="EP42" s="5"/>
      <c r="EQ42" s="29">
        <f t="shared" si="66"/>
        <v>6.4028427004814148E-10</v>
      </c>
      <c r="ER42" s="5"/>
      <c r="ES42" s="29">
        <f t="shared" si="67"/>
        <v>-1.280568540096283E-9</v>
      </c>
      <c r="ET42" s="5"/>
      <c r="EU42" s="29">
        <f t="shared" si="68"/>
        <v>-199999.99999999942</v>
      </c>
      <c r="EV42" s="5"/>
      <c r="EW42" s="29">
        <f t="shared" si="69"/>
        <v>-99999.999999999767</v>
      </c>
      <c r="EX42" s="5"/>
      <c r="EY42" s="29">
        <f t="shared" si="70"/>
        <v>-199999.22000000067</v>
      </c>
      <c r="EZ42" s="5"/>
      <c r="FA42" s="29">
        <f t="shared" si="70"/>
        <v>-200000.7799999998</v>
      </c>
      <c r="FB42" s="5"/>
      <c r="FC42" s="29">
        <f t="shared" si="70"/>
        <v>-785000</v>
      </c>
      <c r="FD42" s="5"/>
      <c r="FE42" s="29">
        <f t="shared" si="71"/>
        <v>-1200000</v>
      </c>
      <c r="FF42" s="5"/>
      <c r="FG42" s="29">
        <v>0</v>
      </c>
      <c r="FH42" s="5"/>
      <c r="FI42" s="29">
        <f t="shared" si="72"/>
        <v>0</v>
      </c>
      <c r="FJ42" s="5"/>
      <c r="FK42" s="29">
        <f t="shared" si="72"/>
        <v>0</v>
      </c>
      <c r="FL42" s="5"/>
      <c r="FM42" s="29">
        <f t="shared" si="73"/>
        <v>0</v>
      </c>
      <c r="FN42" s="5"/>
      <c r="FO42" s="29">
        <f t="shared" si="74"/>
        <v>0</v>
      </c>
      <c r="FP42" s="5"/>
      <c r="FQ42" s="29">
        <f t="shared" si="75"/>
        <v>0</v>
      </c>
      <c r="FR42" s="5"/>
      <c r="FS42" s="29">
        <f t="shared" si="76"/>
        <v>0</v>
      </c>
      <c r="FT42" s="5"/>
      <c r="FU42" s="29">
        <f t="shared" si="77"/>
        <v>0</v>
      </c>
      <c r="FV42" s="5"/>
      <c r="FW42" s="29">
        <f t="shared" si="77"/>
        <v>0</v>
      </c>
      <c r="FX42" s="5"/>
      <c r="FY42" s="29">
        <f t="shared" si="77"/>
        <v>0</v>
      </c>
      <c r="FZ42" s="5"/>
      <c r="GA42" s="29">
        <f t="shared" si="78"/>
        <v>0</v>
      </c>
      <c r="GB42" s="5"/>
      <c r="GC42" s="29">
        <f t="shared" si="79"/>
        <v>0</v>
      </c>
      <c r="GD42" s="5"/>
      <c r="GE42" s="29">
        <f t="shared" si="79"/>
        <v>0</v>
      </c>
      <c r="GF42" s="5"/>
      <c r="GG42" s="29">
        <f t="shared" si="79"/>
        <v>0</v>
      </c>
      <c r="GH42" s="5"/>
      <c r="GI42" s="29">
        <f t="shared" si="80"/>
        <v>0</v>
      </c>
      <c r="GJ42" s="5"/>
      <c r="GK42" s="29">
        <f t="shared" si="81"/>
        <v>0</v>
      </c>
      <c r="GL42" s="5"/>
      <c r="GM42" s="29">
        <f t="shared" si="81"/>
        <v>0</v>
      </c>
      <c r="GN42" s="5"/>
      <c r="GO42" s="29">
        <f t="shared" si="82"/>
        <v>0</v>
      </c>
      <c r="GP42" s="5"/>
      <c r="GQ42" s="29">
        <f t="shared" si="83"/>
        <v>0</v>
      </c>
      <c r="GR42" s="5"/>
      <c r="GS42" s="29">
        <f t="shared" si="84"/>
        <v>55000.000000000204</v>
      </c>
      <c r="GT42" s="5"/>
      <c r="GU42" s="29">
        <f t="shared" si="84"/>
        <v>-15000.00000000024</v>
      </c>
    </row>
    <row r="43" spans="1:203">
      <c r="A43" s="38" t="s">
        <v>310</v>
      </c>
      <c r="C43" s="29"/>
      <c r="E43" s="29"/>
      <c r="G43" s="29"/>
      <c r="I43" s="29">
        <v>0</v>
      </c>
      <c r="K43" s="29">
        <v>-2021700</v>
      </c>
      <c r="M43" s="29">
        <v>-2021699.9999999998</v>
      </c>
      <c r="O43" s="29">
        <v>-2021700</v>
      </c>
      <c r="Q43" s="29">
        <v>-2.6000000303838533E-3</v>
      </c>
      <c r="S43" s="29">
        <v>-1774500</v>
      </c>
      <c r="U43" s="29">
        <v>-1774500</v>
      </c>
      <c r="W43" s="29">
        <v>0</v>
      </c>
      <c r="Y43" s="29">
        <v>0</v>
      </c>
      <c r="AA43" s="29">
        <v>0</v>
      </c>
      <c r="AC43" s="29">
        <v>0</v>
      </c>
      <c r="AE43" s="29">
        <v>0</v>
      </c>
      <c r="AG43" s="29">
        <v>0</v>
      </c>
      <c r="AI43" s="29">
        <v>0</v>
      </c>
      <c r="AK43" s="29">
        <v>0</v>
      </c>
      <c r="AM43" s="29">
        <v>0</v>
      </c>
      <c r="AO43" s="29">
        <v>0</v>
      </c>
      <c r="AQ43" s="29">
        <v>0</v>
      </c>
      <c r="AS43" s="29">
        <v>0</v>
      </c>
      <c r="AU43" s="29">
        <v>0</v>
      </c>
      <c r="AW43" s="29">
        <v>0</v>
      </c>
      <c r="AY43" s="29">
        <v>0</v>
      </c>
      <c r="BA43" s="29">
        <v>0</v>
      </c>
      <c r="BC43" s="29">
        <v>0</v>
      </c>
      <c r="BE43" s="29">
        <v>0</v>
      </c>
      <c r="BG43" s="29">
        <v>4.9999999173451215E-3</v>
      </c>
      <c r="BI43" s="29">
        <v>-56490.700000000186</v>
      </c>
      <c r="BK43" s="29">
        <v>-39358.905000000028</v>
      </c>
      <c r="BM43" s="29">
        <v>-63491.845000000205</v>
      </c>
      <c r="BO43" s="29">
        <v>0</v>
      </c>
      <c r="BQ43" s="29">
        <v>0</v>
      </c>
      <c r="BS43" s="29">
        <v>0.61499999988824128</v>
      </c>
      <c r="BU43" s="29">
        <v>-196370.93999999994</v>
      </c>
      <c r="BW43" s="29">
        <v>232.64500000001863</v>
      </c>
      <c r="BY43" s="29">
        <v>232.64500000001863</v>
      </c>
      <c r="CA43" s="29">
        <v>-4.999999888241291E-3</v>
      </c>
      <c r="CC43" s="29">
        <v>-1048134.425</v>
      </c>
      <c r="CE43" s="29">
        <v>-1049750.45</v>
      </c>
      <c r="CG43" s="29">
        <v>-749880.75</v>
      </c>
      <c r="CI43" s="29">
        <v>-750000</v>
      </c>
      <c r="CK43" s="29">
        <v>-149989</v>
      </c>
      <c r="CM43" s="29">
        <v>-152500</v>
      </c>
      <c r="CO43" s="29">
        <v>0</v>
      </c>
      <c r="CQ43" s="29">
        <v>0</v>
      </c>
      <c r="CS43" s="29">
        <v>0</v>
      </c>
      <c r="CU43" s="29">
        <v>0</v>
      </c>
      <c r="CW43" s="29">
        <v>0</v>
      </c>
      <c r="CY43" s="29">
        <v>-511567.67</v>
      </c>
      <c r="DA43" s="29">
        <v>-2500</v>
      </c>
      <c r="DC43" s="29"/>
      <c r="DD43" s="5"/>
      <c r="DE43" s="29"/>
      <c r="DF43" s="5"/>
      <c r="DG43" s="29"/>
      <c r="DH43" s="5"/>
      <c r="DI43" s="29">
        <f t="shared" si="85"/>
        <v>0</v>
      </c>
      <c r="DJ43" s="5"/>
      <c r="DK43" s="29">
        <f t="shared" si="62"/>
        <v>0</v>
      </c>
      <c r="DL43" s="5"/>
      <c r="DM43" s="29">
        <f t="shared" si="62"/>
        <v>0</v>
      </c>
      <c r="DN43" s="5"/>
      <c r="DO43" s="29">
        <f t="shared" si="62"/>
        <v>-2021699.9974</v>
      </c>
      <c r="DP43" s="5"/>
      <c r="DQ43" s="29">
        <f t="shared" si="86"/>
        <v>-2.6000000303838533E-3</v>
      </c>
      <c r="DR43" s="5"/>
      <c r="DS43" s="29">
        <f t="shared" si="34"/>
        <v>0</v>
      </c>
      <c r="DT43" s="5"/>
      <c r="DU43" s="29">
        <f t="shared" si="34"/>
        <v>-1774500</v>
      </c>
      <c r="DV43" s="5"/>
      <c r="DW43" s="29">
        <f t="shared" si="34"/>
        <v>0</v>
      </c>
      <c r="DX43" s="5"/>
      <c r="DY43" s="29">
        <f t="shared" si="35"/>
        <v>0</v>
      </c>
      <c r="DZ43" s="5"/>
      <c r="EA43" s="29">
        <f t="shared" si="64"/>
        <v>0</v>
      </c>
      <c r="EB43" s="5"/>
      <c r="EC43" s="29">
        <f t="shared" si="64"/>
        <v>0</v>
      </c>
      <c r="ED43" s="5"/>
      <c r="EE43" s="29">
        <f t="shared" si="64"/>
        <v>0</v>
      </c>
      <c r="EF43" s="5"/>
      <c r="EG43" s="29">
        <f t="shared" si="37"/>
        <v>0</v>
      </c>
      <c r="EH43" s="5"/>
      <c r="EI43" s="29">
        <f t="shared" si="38"/>
        <v>0</v>
      </c>
      <c r="EJ43" s="5"/>
      <c r="EK43" s="29">
        <f t="shared" si="38"/>
        <v>0</v>
      </c>
      <c r="EL43" s="5"/>
      <c r="EM43" s="29">
        <f t="shared" si="38"/>
        <v>0</v>
      </c>
      <c r="EN43" s="5"/>
      <c r="EO43" s="29">
        <f t="shared" si="65"/>
        <v>0</v>
      </c>
      <c r="EP43" s="5"/>
      <c r="EQ43" s="29">
        <f t="shared" si="66"/>
        <v>0</v>
      </c>
      <c r="ER43" s="5"/>
      <c r="ES43" s="29">
        <f t="shared" si="67"/>
        <v>0</v>
      </c>
      <c r="ET43" s="5"/>
      <c r="EU43" s="29">
        <f t="shared" si="68"/>
        <v>0</v>
      </c>
      <c r="EV43" s="5"/>
      <c r="EW43" s="29">
        <f t="shared" si="69"/>
        <v>0</v>
      </c>
      <c r="EX43" s="5"/>
      <c r="EY43" s="29">
        <f t="shared" si="70"/>
        <v>0</v>
      </c>
      <c r="EZ43" s="5"/>
      <c r="FA43" s="29">
        <f t="shared" si="70"/>
        <v>0</v>
      </c>
      <c r="FB43" s="5"/>
      <c r="FC43" s="29">
        <f t="shared" si="70"/>
        <v>0</v>
      </c>
      <c r="FD43" s="5"/>
      <c r="FE43" s="29">
        <f t="shared" si="71"/>
        <v>0</v>
      </c>
      <c r="FF43" s="5"/>
      <c r="FG43" s="29">
        <v>0</v>
      </c>
      <c r="FH43" s="5"/>
      <c r="FI43" s="29">
        <f t="shared" si="72"/>
        <v>-17131.795000000158</v>
      </c>
      <c r="FJ43" s="5"/>
      <c r="FK43" s="29">
        <f t="shared" si="72"/>
        <v>24132.940000000177</v>
      </c>
      <c r="FL43" s="5"/>
      <c r="FM43" s="29">
        <f t="shared" si="73"/>
        <v>-63491.845000000205</v>
      </c>
      <c r="FN43" s="5"/>
      <c r="FO43" s="29">
        <f t="shared" si="74"/>
        <v>0</v>
      </c>
      <c r="FP43" s="5"/>
      <c r="FQ43" s="29">
        <f t="shared" si="75"/>
        <v>-0.61499999988824128</v>
      </c>
      <c r="FR43" s="5"/>
      <c r="FS43" s="29">
        <f t="shared" si="76"/>
        <v>0.61499999988824128</v>
      </c>
      <c r="FT43" s="5"/>
      <c r="FU43" s="29">
        <f t="shared" si="77"/>
        <v>-196603.58499999996</v>
      </c>
      <c r="FV43" s="5"/>
      <c r="FW43" s="29">
        <f t="shared" si="77"/>
        <v>0</v>
      </c>
      <c r="FX43" s="5"/>
      <c r="FY43" s="29">
        <f t="shared" si="77"/>
        <v>232.64999999990687</v>
      </c>
      <c r="FZ43" s="5"/>
      <c r="GA43" s="29">
        <f t="shared" si="78"/>
        <v>-4.999999888241291E-3</v>
      </c>
      <c r="GB43" s="5"/>
      <c r="GC43" s="29">
        <f t="shared" si="79"/>
        <v>1616.0249999999069</v>
      </c>
      <c r="GD43" s="5"/>
      <c r="GE43" s="29">
        <f t="shared" si="79"/>
        <v>-299869.69999999995</v>
      </c>
      <c r="GF43" s="5"/>
      <c r="GG43" s="29">
        <f t="shared" si="79"/>
        <v>119.25</v>
      </c>
      <c r="GH43" s="5"/>
      <c r="GI43" s="29">
        <f t="shared" si="80"/>
        <v>-750000</v>
      </c>
      <c r="GJ43" s="5"/>
      <c r="GK43" s="29">
        <f t="shared" si="81"/>
        <v>2511</v>
      </c>
      <c r="GL43" s="5"/>
      <c r="GM43" s="29">
        <f t="shared" si="81"/>
        <v>-152500</v>
      </c>
      <c r="GN43" s="5"/>
      <c r="GO43" s="29">
        <f t="shared" si="82"/>
        <v>0</v>
      </c>
      <c r="GP43" s="5"/>
      <c r="GQ43" s="29">
        <f t="shared" si="83"/>
        <v>0</v>
      </c>
      <c r="GR43" s="5"/>
      <c r="GS43" s="29">
        <f t="shared" si="84"/>
        <v>0</v>
      </c>
      <c r="GT43" s="5"/>
      <c r="GU43" s="29">
        <f t="shared" si="84"/>
        <v>0</v>
      </c>
    </row>
    <row r="44" spans="1:203">
      <c r="A44" s="38" t="s">
        <v>121</v>
      </c>
      <c r="C44" s="29"/>
      <c r="E44" s="29"/>
      <c r="G44" s="29"/>
      <c r="I44" s="29">
        <v>0</v>
      </c>
      <c r="K44" s="29">
        <v>0</v>
      </c>
      <c r="M44" s="29">
        <v>0</v>
      </c>
      <c r="O44" s="29">
        <v>0</v>
      </c>
      <c r="Q44" s="29">
        <v>0</v>
      </c>
      <c r="S44" s="29">
        <v>0</v>
      </c>
      <c r="U44" s="29">
        <v>0</v>
      </c>
      <c r="W44" s="29">
        <v>0</v>
      </c>
      <c r="Y44" s="29">
        <v>0</v>
      </c>
      <c r="AA44" s="29">
        <v>0</v>
      </c>
      <c r="AC44" s="29">
        <v>0</v>
      </c>
      <c r="AE44" s="29">
        <v>0</v>
      </c>
      <c r="AG44" s="29">
        <v>0</v>
      </c>
      <c r="AI44" s="29">
        <v>0</v>
      </c>
      <c r="AK44" s="29">
        <v>0</v>
      </c>
      <c r="AM44" s="29">
        <v>0</v>
      </c>
      <c r="AO44" s="29">
        <v>0</v>
      </c>
      <c r="AQ44" s="29">
        <v>0</v>
      </c>
      <c r="AS44" s="29">
        <v>0</v>
      </c>
      <c r="AU44" s="29">
        <v>0</v>
      </c>
      <c r="AW44" s="29">
        <v>0</v>
      </c>
      <c r="AY44" s="29">
        <v>0</v>
      </c>
      <c r="BA44" s="29">
        <v>0</v>
      </c>
      <c r="BC44" s="29">
        <v>0</v>
      </c>
      <c r="BE44" s="29">
        <v>0</v>
      </c>
      <c r="BG44" s="29">
        <v>-300000</v>
      </c>
      <c r="BI44" s="29">
        <v>0</v>
      </c>
      <c r="BK44" s="29">
        <v>0</v>
      </c>
      <c r="BM44" s="29">
        <v>0</v>
      </c>
      <c r="BO44" s="29">
        <v>0</v>
      </c>
      <c r="BQ44" s="29">
        <v>0</v>
      </c>
      <c r="BS44" s="120">
        <v>0</v>
      </c>
      <c r="BU44" s="29">
        <v>0</v>
      </c>
      <c r="BW44" s="29">
        <v>0</v>
      </c>
      <c r="BY44" s="29">
        <v>0</v>
      </c>
      <c r="CA44" s="29"/>
      <c r="CC44" s="29"/>
      <c r="CE44" s="29">
        <v>0</v>
      </c>
      <c r="CG44" s="29">
        <v>0</v>
      </c>
      <c r="CI44" s="29">
        <v>0</v>
      </c>
      <c r="CK44" s="29">
        <v>0</v>
      </c>
      <c r="CM44" s="29">
        <v>0</v>
      </c>
      <c r="CO44" s="29">
        <v>0</v>
      </c>
      <c r="CQ44" s="29">
        <v>0</v>
      </c>
      <c r="CS44" s="29">
        <v>0</v>
      </c>
      <c r="CU44" s="29">
        <v>0</v>
      </c>
      <c r="CW44" s="29">
        <v>0</v>
      </c>
      <c r="CY44" s="29">
        <v>0</v>
      </c>
      <c r="DA44" s="29">
        <v>0</v>
      </c>
      <c r="DC44" s="29"/>
      <c r="DD44" s="5"/>
      <c r="DE44" s="29"/>
      <c r="DF44" s="5"/>
      <c r="DG44" s="29"/>
      <c r="DH44" s="5"/>
      <c r="DI44" s="29">
        <f t="shared" si="85"/>
        <v>0</v>
      </c>
      <c r="DJ44" s="5"/>
      <c r="DK44" s="29">
        <f t="shared" si="62"/>
        <v>0</v>
      </c>
      <c r="DL44" s="5"/>
      <c r="DM44" s="29">
        <f t="shared" si="62"/>
        <v>0</v>
      </c>
      <c r="DN44" s="5"/>
      <c r="DO44" s="29">
        <f t="shared" si="62"/>
        <v>0</v>
      </c>
      <c r="DP44" s="5"/>
      <c r="DQ44" s="29">
        <f t="shared" si="86"/>
        <v>0</v>
      </c>
      <c r="DR44" s="5"/>
      <c r="DS44" s="29">
        <f t="shared" si="34"/>
        <v>0</v>
      </c>
      <c r="DT44" s="5"/>
      <c r="DU44" s="29">
        <f t="shared" si="34"/>
        <v>0</v>
      </c>
      <c r="DV44" s="5"/>
      <c r="DW44" s="29">
        <f t="shared" si="34"/>
        <v>0</v>
      </c>
      <c r="DX44" s="5"/>
      <c r="DY44" s="29">
        <f t="shared" si="35"/>
        <v>0</v>
      </c>
      <c r="DZ44" s="5"/>
      <c r="EA44" s="29">
        <f t="shared" si="64"/>
        <v>0</v>
      </c>
      <c r="EB44" s="5"/>
      <c r="EC44" s="29">
        <f t="shared" si="64"/>
        <v>0</v>
      </c>
      <c r="ED44" s="5"/>
      <c r="EE44" s="29">
        <f t="shared" si="64"/>
        <v>0</v>
      </c>
      <c r="EF44" s="5"/>
      <c r="EG44" s="29">
        <f t="shared" si="37"/>
        <v>0</v>
      </c>
      <c r="EH44" s="5"/>
      <c r="EI44" s="29">
        <f t="shared" si="38"/>
        <v>0</v>
      </c>
      <c r="EJ44" s="5"/>
      <c r="EK44" s="29">
        <f t="shared" si="38"/>
        <v>0</v>
      </c>
      <c r="EL44" s="5"/>
      <c r="EM44" s="29">
        <f t="shared" si="38"/>
        <v>0</v>
      </c>
      <c r="EN44" s="5"/>
      <c r="EO44" s="29">
        <f t="shared" si="65"/>
        <v>0</v>
      </c>
      <c r="EP44" s="5"/>
      <c r="EQ44" s="29">
        <f t="shared" si="66"/>
        <v>0</v>
      </c>
      <c r="ER44" s="5"/>
      <c r="ES44" s="29">
        <f t="shared" si="67"/>
        <v>0</v>
      </c>
      <c r="ET44" s="5"/>
      <c r="EU44" s="29">
        <f t="shared" si="68"/>
        <v>0</v>
      </c>
      <c r="EV44" s="5"/>
      <c r="EW44" s="29">
        <f t="shared" si="69"/>
        <v>0</v>
      </c>
      <c r="EX44" s="5"/>
      <c r="EY44" s="29">
        <f t="shared" si="70"/>
        <v>0</v>
      </c>
      <c r="EZ44" s="5"/>
      <c r="FA44" s="29">
        <f t="shared" si="70"/>
        <v>0</v>
      </c>
      <c r="FB44" s="5"/>
      <c r="FC44" s="29">
        <f t="shared" si="70"/>
        <v>0</v>
      </c>
      <c r="FD44" s="5"/>
      <c r="FE44" s="29">
        <f t="shared" si="71"/>
        <v>0</v>
      </c>
      <c r="FF44" s="5"/>
      <c r="FG44" s="29">
        <v>-300000</v>
      </c>
      <c r="FH44" s="5"/>
      <c r="FI44" s="29">
        <f t="shared" si="72"/>
        <v>0</v>
      </c>
      <c r="FJ44" s="5"/>
      <c r="FK44" s="29">
        <f t="shared" si="72"/>
        <v>0</v>
      </c>
      <c r="FL44" s="5"/>
      <c r="FM44" s="29">
        <f t="shared" si="73"/>
        <v>0</v>
      </c>
      <c r="FN44" s="5"/>
      <c r="FO44" s="29">
        <f t="shared" si="74"/>
        <v>0</v>
      </c>
      <c r="FP44" s="5"/>
      <c r="FQ44" s="29">
        <f t="shared" si="75"/>
        <v>0</v>
      </c>
      <c r="FR44" s="5"/>
      <c r="FS44" s="29">
        <f t="shared" si="76"/>
        <v>0</v>
      </c>
      <c r="FT44" s="5"/>
      <c r="FU44" s="29">
        <f t="shared" si="77"/>
        <v>0</v>
      </c>
      <c r="FV44" s="5"/>
      <c r="FW44" s="29">
        <f t="shared" si="77"/>
        <v>0</v>
      </c>
      <c r="FX44" s="5"/>
      <c r="FY44" s="29">
        <f t="shared" si="77"/>
        <v>0</v>
      </c>
      <c r="FZ44" s="5"/>
      <c r="GA44" s="29">
        <f t="shared" si="78"/>
        <v>0</v>
      </c>
      <c r="GB44" s="5"/>
      <c r="GC44" s="29">
        <f t="shared" si="79"/>
        <v>0</v>
      </c>
      <c r="GD44" s="5"/>
      <c r="GE44" s="29">
        <f t="shared" si="79"/>
        <v>0</v>
      </c>
      <c r="GF44" s="5"/>
      <c r="GG44" s="29">
        <f t="shared" si="79"/>
        <v>0</v>
      </c>
      <c r="GH44" s="5"/>
      <c r="GI44" s="29">
        <f t="shared" si="80"/>
        <v>0</v>
      </c>
      <c r="GJ44" s="5"/>
      <c r="GK44" s="29">
        <f t="shared" si="81"/>
        <v>0</v>
      </c>
      <c r="GL44" s="5"/>
      <c r="GM44" s="29">
        <f t="shared" si="81"/>
        <v>0</v>
      </c>
      <c r="GN44" s="5"/>
      <c r="GO44" s="29">
        <f t="shared" si="82"/>
        <v>0</v>
      </c>
      <c r="GP44" s="5"/>
      <c r="GQ44" s="29">
        <f t="shared" si="83"/>
        <v>0</v>
      </c>
      <c r="GR44" s="5"/>
      <c r="GS44" s="29">
        <f t="shared" si="84"/>
        <v>0</v>
      </c>
      <c r="GT44" s="5"/>
      <c r="GU44" s="29">
        <f t="shared" si="84"/>
        <v>0</v>
      </c>
    </row>
    <row r="45" spans="1:203" s="39" customFormat="1" ht="13">
      <c r="A45" s="37" t="s">
        <v>122</v>
      </c>
      <c r="C45" s="104"/>
      <c r="E45" s="104"/>
      <c r="F45" s="105"/>
      <c r="G45" s="104"/>
      <c r="H45" s="105"/>
      <c r="I45" s="104">
        <f>SUM(I27:I29,I30:I35,I36,I38:I39,I41:I44)</f>
        <v>-4668838.1821720451</v>
      </c>
      <c r="K45" s="104">
        <f>SUM(K27:K29,K30:K35,K36,K38:K39,K41:K44)</f>
        <v>-34767732.324170403</v>
      </c>
      <c r="M45" s="104">
        <f>SUM(M27:M29,M30:M35,M36,M38:M39,M41:M44)</f>
        <v>-19559041.617559969</v>
      </c>
      <c r="N45" s="105"/>
      <c r="O45" s="104">
        <f>SUM(O27:O29,O30:O35,O36,O38:O39,O41:O44)</f>
        <v>-9865426.2787591405</v>
      </c>
      <c r="P45" s="105"/>
      <c r="Q45" s="104">
        <f>SUM(Q27:Q29,Q30:Q35,Q36,Q38:Q39,Q41:Q44)</f>
        <v>-8590709.8891483862</v>
      </c>
      <c r="S45" s="104">
        <f>SUM(S27:S29,S30:S35,S36,S38:S39,S41:S44)</f>
        <v>-11547349.109999999</v>
      </c>
      <c r="U45" s="104">
        <f>SUM(U27:U29,U30:U35,U36,U38:U39,U41:U44)</f>
        <v>-9382139.4463464897</v>
      </c>
      <c r="V45" s="105"/>
      <c r="W45" s="104">
        <f>SUM(W27:W29,W30:W35,W36,W38:W39,W41:W44)</f>
        <v>-7358418.9911343614</v>
      </c>
      <c r="X45" s="105"/>
      <c r="Y45" s="104">
        <f>SUM(Y27:Y29,Y30:Y35,Y36,Y38:Y39,Y41:Y44)</f>
        <v>-6150438.9295945941</v>
      </c>
      <c r="AA45" s="104">
        <f>SUM(AA27:AA29,AA35,AA36,AA38:AA40,AA44)</f>
        <v>-4550631.2250808198</v>
      </c>
      <c r="AC45" s="104">
        <f>SUM(AC27:AC29,AC35,AC36,AC38:AC40,AC44)</f>
        <v>-2195297.508852046</v>
      </c>
      <c r="AD45" s="105"/>
      <c r="AE45" s="104">
        <f>SUM(AE27:AE29,AE35,AE36,AE38:AE40,AE44)</f>
        <v>-1523544.8789393073</v>
      </c>
      <c r="AF45" s="105"/>
      <c r="AG45" s="104">
        <f>SUM(AG27:AG29,AG35,AG36,AG38:AG40,AG44)</f>
        <v>-5108033.0415560501</v>
      </c>
      <c r="AI45" s="104">
        <f>SUM(AI27:AI29,AI35,AI36,AI38:AI40,AI44)</f>
        <v>-3234459.3723320309</v>
      </c>
      <c r="AK45" s="104">
        <f>SUM(AK27:AK29,AK35,AK36,AK38:AK40,AK44)</f>
        <v>-2101504.1724502519</v>
      </c>
      <c r="AL45" s="105"/>
      <c r="AM45" s="104">
        <f>SUM(AM27:AM29,AM35,AM36,AM38:AM40,AM44)</f>
        <v>-1282100.0763624657</v>
      </c>
      <c r="AN45" s="105"/>
      <c r="AO45" s="104">
        <f>SUM(AO27:AO29,AO35,AO36,AO38:AO40,AO44)</f>
        <v>523393.17000000412</v>
      </c>
      <c r="AQ45" s="104">
        <f>SUM(AQ27:AQ29,AQ35,AQ36,AQ38:AQ40,AQ44)</f>
        <v>-4679344.5300231408</v>
      </c>
      <c r="AS45" s="104">
        <f>SUM(AS27:AS29,AS35,AS36,AS38:AS40,AS44)</f>
        <v>-3094946.5341496491</v>
      </c>
      <c r="AT45" s="105"/>
      <c r="AU45" s="104">
        <f>SUM(AU27:AU29,AU35,AU36,AU38:AU40,AU44)</f>
        <v>-2743993.1041496149</v>
      </c>
      <c r="AV45" s="105"/>
      <c r="AW45" s="104">
        <f>SUM(AW27:AW29,AW35,AW36,AW38:AW40,AW44)</f>
        <v>-1109314.6915652649</v>
      </c>
      <c r="AX45" s="171"/>
      <c r="AY45" s="104">
        <f>SUM(AY27:AY29,AY35,AY36,AY38:AY40,AY44)</f>
        <v>-5313500.4000000004</v>
      </c>
      <c r="BA45" s="104">
        <f>SUM(BA27:BA29,BA35,BA36,BA38:BA40,BA44)</f>
        <v>-5344956.8231150135</v>
      </c>
      <c r="BB45" s="105"/>
      <c r="BC45" s="104">
        <f>SUM(BC27:BC29,BC35,BC36,BC38:BC40,BC44)</f>
        <v>-3040040.5631149998</v>
      </c>
      <c r="BD45" s="105"/>
      <c r="BE45" s="104">
        <f>SUM(BE27:BE29,BE35,BE36,BE38:BE40,BE44)</f>
        <v>-1180606.310000015</v>
      </c>
      <c r="BF45" s="105"/>
      <c r="BG45" s="104">
        <f>SUM(BG27:BG29,BG35,BG36,BG38:BG40,BG44)</f>
        <v>-16453797.58716665</v>
      </c>
      <c r="BI45" s="104">
        <f>SUM(BI27:BI29,BI35,BI36,BI38:BI40,BI44)</f>
        <v>-17270005.71999998</v>
      </c>
      <c r="BJ45" s="105"/>
      <c r="BK45" s="104">
        <f>SUM(BK27:BK29,BK35,BK36,BK38:BK40,BK44)</f>
        <v>-16260998.294999994</v>
      </c>
      <c r="BL45" s="105"/>
      <c r="BM45" s="104">
        <f>SUM(BM27:BM29,BM35,BM36,BM38:BM40,BM44)</f>
        <v>579616.90500000352</v>
      </c>
      <c r="BN45" s="105"/>
      <c r="BO45" s="104">
        <f>SUM(BO27:BO29,BO35,BO36,BO38:BO40,BO44)</f>
        <v>1955152.5150000211</v>
      </c>
      <c r="BQ45" s="104">
        <f>SUM(BQ27:BQ29,BQ35,BQ36,BQ38:BQ40,BQ44)</f>
        <v>-3020118.01</v>
      </c>
      <c r="BR45" s="105"/>
      <c r="BS45" s="104">
        <f>SUM(BS27:BS29,BS35,BS36,BS38:BS40,BS44)</f>
        <v>-1450898.5749999997</v>
      </c>
      <c r="BT45" s="105"/>
      <c r="BU45" s="104">
        <f>SUM(BU27:BU29,BU35,BU36,BU38:BU40,BU44)</f>
        <v>-1238215.06</v>
      </c>
      <c r="BW45" s="104">
        <f>SUM(BW27:BW29,BW35,BW36,BW38:BW40,BW44)</f>
        <v>850377.31499999994</v>
      </c>
      <c r="BX45" s="105"/>
      <c r="BY45" s="104">
        <f>SUM(BY27:BY29,BY35,BY36,BY38:BY40,BY44)</f>
        <v>1624515.3249999997</v>
      </c>
      <c r="BZ45" s="105"/>
      <c r="CA45" s="104">
        <f>SUM(CA27:CA29,CA35,CA36,CA38:CA40,CA44)</f>
        <v>2956272.8549999995</v>
      </c>
      <c r="CB45" s="105"/>
      <c r="CC45" s="104">
        <f>SUM(CC27:CC29,CC35,CC36,CC38:CC40,CC44)</f>
        <v>-11491605.585000031</v>
      </c>
      <c r="CE45" s="104">
        <f>SUM(CE27:CE29,CE35,CE36,CE38:CE40,CE44)</f>
        <v>-8999078.6699999981</v>
      </c>
      <c r="CF45" s="105"/>
      <c r="CG45" s="104">
        <f>SUM(CG27:CG29,CG35,CG36,CG38:CG40,CG44)</f>
        <v>-6444624.0499999989</v>
      </c>
      <c r="CH45" s="105"/>
      <c r="CI45" s="104">
        <f>SUM(CI27:CI29,CI35,CI36,CI38:CI40,CI44)</f>
        <v>-3763083.5200000005</v>
      </c>
      <c r="CJ45" s="105"/>
      <c r="CK45" s="104">
        <f>SUM(CK27:CK29,CK35,CK36,CK38:CK40,CK44)</f>
        <v>-15145651.134493595</v>
      </c>
      <c r="CL45" s="105"/>
      <c r="CM45" s="104">
        <f>SUM(CM27:CM29,CM35,CM36,CM38:CM40,CM44)</f>
        <v>-9348947.0000000037</v>
      </c>
      <c r="CN45" s="105"/>
      <c r="CO45" s="104">
        <f>SUM(CO27:CO29,CO35,CO36,CO38:CO40,CO44)</f>
        <v>-8605559.0500000119</v>
      </c>
      <c r="CP45" s="105"/>
      <c r="CQ45" s="104">
        <f>SUM(CQ27:CQ29,CQ35,CQ36,CQ38:CQ40,CQ44)</f>
        <v>-7073849.4000000032</v>
      </c>
      <c r="CR45" s="105"/>
      <c r="CS45" s="104">
        <f>SUM(CS27:CS29,CS35,CS36,CS38:CS40,CS44)</f>
        <v>-21070061.297709182</v>
      </c>
      <c r="CT45" s="105"/>
      <c r="CU45" s="104">
        <f>SUM(CU27:CU29,CU35,CU36,CU38:CU40,CU44)</f>
        <v>-6903098.8199999966</v>
      </c>
      <c r="CV45" s="105"/>
      <c r="CW45" s="104">
        <f>SUM(CW27:CW29,CW35,CW36,CW38:CW40,CW44)</f>
        <v>-6253080.5699999994</v>
      </c>
      <c r="CX45" s="105"/>
      <c r="CY45" s="104">
        <f>SUM(CY27:CY29,CY35,CY36,CY38:CY40,CY44)</f>
        <v>-3798996.3529707706</v>
      </c>
      <c r="CZ45" s="105"/>
      <c r="DA45" s="104">
        <f>SUM(DA27:DA29,DA35,DA36,DA38:DA40,DA44)</f>
        <v>-13962424.09</v>
      </c>
      <c r="DB45" s="94"/>
      <c r="DC45" s="104"/>
      <c r="DD45" s="105"/>
      <c r="DE45" s="104"/>
      <c r="DF45" s="105"/>
      <c r="DG45" s="104"/>
      <c r="DH45" s="105"/>
      <c r="DI45" s="104">
        <f>SUM(DI27:DI29,DI30:DI35,DI36,DI38:DI39,DI41:DI44)</f>
        <v>-4668838.1821720451</v>
      </c>
      <c r="DJ45" s="105"/>
      <c r="DK45" s="104">
        <f>SUM(DK27:DK29,DK30:DK35,DK36,DK38:DK39,DK41:DK44)</f>
        <v>-15208690.706610434</v>
      </c>
      <c r="DL45" s="105"/>
      <c r="DM45" s="104">
        <f>SUM(DM27:DM29,DM30:DM35,DM36,DM38:DM39,DM41:DM44)</f>
        <v>-9693615.3388008289</v>
      </c>
      <c r="DN45" s="105"/>
      <c r="DO45" s="104">
        <f>SUM(DO27:DO29,DO30:DO35,DO36,DO38:DO39,DO41:DO44)</f>
        <v>-1274716.3896107536</v>
      </c>
      <c r="DP45" s="105"/>
      <c r="DQ45" s="104">
        <f>SUM(DQ27:DQ29,DQ30:DQ35,DQ36,DQ38:DQ39,DQ41:DQ44)</f>
        <v>-8590709.8891483862</v>
      </c>
      <c r="DR45" s="105"/>
      <c r="DS45" s="104">
        <f>SUM(DS27:DS29,DS30:DS35,DS36,DS38:DS39,DS41:DS44)</f>
        <v>-2165209.6636535092</v>
      </c>
      <c r="DT45" s="105"/>
      <c r="DU45" s="104">
        <f>SUM(DU27:DU29,DU30:DU35,DU36,DU38:DU39,DU41:DU44)</f>
        <v>-2023720.455212129</v>
      </c>
      <c r="DV45" s="105"/>
      <c r="DW45" s="104">
        <f>SUM(DW27:DW29,DW30:DW35,DW36,DW38:DW39,DW41:DW44)</f>
        <v>-1207980.0615397668</v>
      </c>
      <c r="DX45" s="105"/>
      <c r="DY45" s="104">
        <f>SUM(DY27:DY29,DY30:DY35,DY36,DY38:DY39,DY41:DY44)</f>
        <v>-6150438.9295945941</v>
      </c>
      <c r="DZ45" s="105"/>
      <c r="EA45" s="104">
        <f>SUM(EA27:EA29,EA35,EA36,EA38:EA40,EA44)</f>
        <v>-2355333.7162287729</v>
      </c>
      <c r="EB45" s="105"/>
      <c r="EC45" s="104">
        <f>SUM(EC27:EC29,EC35,EC36,EC38:EC40,EC44)</f>
        <v>-671752.62991273822</v>
      </c>
      <c r="ED45" s="105"/>
      <c r="EE45" s="104">
        <f>SUM(EE27:EE29,EE35,EE36,EE38:EE40,EE44)</f>
        <v>3584488.1626167423</v>
      </c>
      <c r="EF45" s="105"/>
      <c r="EG45" s="104">
        <f>SUM(EG27:EG29,EG35,EG36,EG38:EG40,EG44)</f>
        <v>-5108033.0415560501</v>
      </c>
      <c r="EH45" s="105"/>
      <c r="EI45" s="104">
        <f>SUM(EI27:EI29,EI35,EI36,EI38:EI40,EI44)</f>
        <v>-1132955.199881779</v>
      </c>
      <c r="EJ45" s="105"/>
      <c r="EK45" s="104">
        <f>SUM(EK27:EK29,EK35,EK36,EK38:EK40,EK44)</f>
        <v>-819404.09608778614</v>
      </c>
      <c r="EL45" s="105"/>
      <c r="EM45" s="104">
        <f>SUM(EM27:EM29,EM35,EM36,EM38:EM40,EM44)</f>
        <v>-1805493.2463624696</v>
      </c>
      <c r="EN45" s="105"/>
      <c r="EO45" s="104">
        <f>SUM(EO27:EO29,EO35,EO36,EO38:EO40,EO44)</f>
        <v>523393.17000000412</v>
      </c>
      <c r="EP45" s="105"/>
      <c r="EQ45" s="104">
        <f t="shared" si="66"/>
        <v>-1584397.9958734917</v>
      </c>
      <c r="ER45" s="105"/>
      <c r="ES45" s="104">
        <f t="shared" si="67"/>
        <v>-350953.43000003416</v>
      </c>
      <c r="ET45" s="105"/>
      <c r="EU45" s="104">
        <f t="shared" si="68"/>
        <v>-1634678.41258435</v>
      </c>
      <c r="EV45" s="105"/>
      <c r="EW45" s="104">
        <f t="shared" si="69"/>
        <v>-1109314.6915652649</v>
      </c>
      <c r="EX45" s="105"/>
      <c r="EY45" s="104">
        <f t="shared" si="70"/>
        <v>31456.423115013167</v>
      </c>
      <c r="EZ45" s="105"/>
      <c r="FA45" s="104">
        <f t="shared" si="70"/>
        <v>-2304916.2600000137</v>
      </c>
      <c r="FB45" s="105"/>
      <c r="FC45" s="104">
        <f t="shared" si="70"/>
        <v>-1859434.2531149848</v>
      </c>
      <c r="FD45" s="105"/>
      <c r="FE45" s="104">
        <f t="shared" si="71"/>
        <v>-1180606.310000015</v>
      </c>
      <c r="FF45" s="105"/>
      <c r="FG45" s="104">
        <f>SUM(FG27:FG29,FG35,FG36,FG38:FG40,FG44)</f>
        <v>-286029.12216667016</v>
      </c>
      <c r="FH45" s="105"/>
      <c r="FI45" s="104">
        <f t="shared" ref="FI45" si="87">BI45-BK45</f>
        <v>-1009007.4249999858</v>
      </c>
      <c r="FJ45" s="105"/>
      <c r="FK45" s="104">
        <f t="shared" si="72"/>
        <v>-16840615.199999999</v>
      </c>
      <c r="FL45" s="105"/>
      <c r="FM45" s="104">
        <f t="shared" si="73"/>
        <v>-1375535.6100000176</v>
      </c>
      <c r="FN45" s="105"/>
      <c r="FO45" s="104">
        <f t="shared" si="74"/>
        <v>4975270.5250000209</v>
      </c>
      <c r="FP45" s="105"/>
      <c r="FQ45" s="104">
        <f t="shared" si="75"/>
        <v>-1569219.4350000001</v>
      </c>
      <c r="FR45" s="105"/>
      <c r="FS45" s="104">
        <f t="shared" si="76"/>
        <v>-1450898.5749999997</v>
      </c>
      <c r="FT45" s="105"/>
      <c r="FU45" s="104">
        <f t="shared" si="77"/>
        <v>-2088592.375</v>
      </c>
      <c r="FV45" s="105"/>
      <c r="FW45" s="104">
        <f t="shared" si="77"/>
        <v>-774138.00999999978</v>
      </c>
      <c r="FX45" s="105"/>
      <c r="FY45" s="104">
        <f t="shared" si="77"/>
        <v>-1331757.5299999998</v>
      </c>
      <c r="FZ45" s="105"/>
      <c r="GA45" s="104">
        <f t="shared" si="78"/>
        <v>2956272.8549999995</v>
      </c>
      <c r="GB45" s="105"/>
      <c r="GC45" s="104">
        <f t="shared" si="79"/>
        <v>-2492526.9150000326</v>
      </c>
      <c r="GD45" s="105"/>
      <c r="GE45" s="104">
        <f t="shared" si="79"/>
        <v>-2554454.6199999992</v>
      </c>
      <c r="GF45" s="105"/>
      <c r="GG45" s="104">
        <f t="shared" si="79"/>
        <v>-2681540.5299999984</v>
      </c>
      <c r="GH45" s="105"/>
      <c r="GI45" s="104">
        <f t="shared" si="80"/>
        <v>-3763083.5200000005</v>
      </c>
      <c r="GJ45" s="105"/>
      <c r="GK45" s="104">
        <f t="shared" si="81"/>
        <v>-5796704.1344935913</v>
      </c>
      <c r="GL45" s="105"/>
      <c r="GM45" s="104">
        <f t="shared" si="81"/>
        <v>-743387.9499999918</v>
      </c>
      <c r="GN45" s="105"/>
      <c r="GO45" s="104">
        <f t="shared" si="82"/>
        <v>-1531709.6500000088</v>
      </c>
      <c r="GP45" s="105"/>
      <c r="GQ45" s="104">
        <f t="shared" si="83"/>
        <v>-7073849.4000000032</v>
      </c>
      <c r="GR45" s="105"/>
      <c r="GS45" s="104">
        <f t="shared" si="84"/>
        <v>-14166962.477709185</v>
      </c>
      <c r="GT45" s="105"/>
      <c r="GU45" s="104">
        <f t="shared" si="84"/>
        <v>-650018.24999999721</v>
      </c>
    </row>
    <row r="46" spans="1:203">
      <c r="A46" s="38"/>
      <c r="E46" s="40"/>
      <c r="M46" s="40"/>
      <c r="U46" s="40"/>
      <c r="BQ46" s="119"/>
    </row>
    <row r="47" spans="1:203" ht="13">
      <c r="A47" s="106" t="s">
        <v>123</v>
      </c>
      <c r="G47" s="40"/>
      <c r="O47" s="40"/>
      <c r="W47" s="40"/>
      <c r="AE47" s="40"/>
      <c r="AM47" s="40"/>
      <c r="AU47" s="40"/>
    </row>
    <row r="48" spans="1:203">
      <c r="A48" s="95" t="s">
        <v>104</v>
      </c>
    </row>
    <row r="49" spans="1:203">
      <c r="A49" s="38" t="s">
        <v>124</v>
      </c>
      <c r="C49" s="29"/>
      <c r="E49" s="29"/>
      <c r="G49" s="29"/>
      <c r="I49" s="29">
        <v>0</v>
      </c>
      <c r="K49" s="29">
        <v>0</v>
      </c>
      <c r="M49" s="29">
        <v>0</v>
      </c>
      <c r="O49" s="29">
        <v>0</v>
      </c>
      <c r="Q49" s="29">
        <v>0</v>
      </c>
      <c r="S49" s="29">
        <v>0</v>
      </c>
      <c r="U49" s="29">
        <v>0</v>
      </c>
      <c r="W49" s="29">
        <v>0</v>
      </c>
      <c r="Y49" s="29">
        <v>0</v>
      </c>
      <c r="AA49" s="29">
        <v>0</v>
      </c>
      <c r="AC49" s="29">
        <v>0</v>
      </c>
      <c r="AE49" s="29">
        <v>0</v>
      </c>
      <c r="AG49" s="29">
        <v>0</v>
      </c>
      <c r="AI49" s="29">
        <v>0</v>
      </c>
      <c r="AK49" s="29">
        <v>0</v>
      </c>
      <c r="AM49" s="29">
        <v>0</v>
      </c>
      <c r="AO49" s="29">
        <v>0</v>
      </c>
      <c r="AQ49" s="29">
        <v>0</v>
      </c>
      <c r="AS49" s="29">
        <v>0</v>
      </c>
      <c r="AU49" s="29">
        <v>0</v>
      </c>
      <c r="AW49" s="29">
        <v>0</v>
      </c>
      <c r="AY49" s="29">
        <v>0</v>
      </c>
      <c r="BA49" s="29">
        <v>0</v>
      </c>
      <c r="BC49" s="29">
        <v>0</v>
      </c>
      <c r="BE49" s="29">
        <v>0</v>
      </c>
      <c r="BG49" s="29">
        <v>0</v>
      </c>
      <c r="BI49" s="29">
        <v>0</v>
      </c>
      <c r="BK49" s="29">
        <v>0</v>
      </c>
      <c r="BM49" s="29">
        <v>0</v>
      </c>
      <c r="BO49" s="29">
        <v>0</v>
      </c>
      <c r="BQ49" s="29">
        <v>0</v>
      </c>
      <c r="BS49" s="29">
        <v>0</v>
      </c>
      <c r="BU49" s="29">
        <v>0</v>
      </c>
      <c r="BW49" s="29">
        <v>0</v>
      </c>
      <c r="BY49" s="29">
        <v>0</v>
      </c>
      <c r="CA49" s="29">
        <v>0</v>
      </c>
      <c r="CC49" s="29">
        <v>0</v>
      </c>
      <c r="CE49" s="29">
        <v>0</v>
      </c>
      <c r="CG49" s="29">
        <v>0</v>
      </c>
      <c r="CI49" s="29">
        <v>0</v>
      </c>
      <c r="CK49" s="29">
        <v>0</v>
      </c>
      <c r="CM49" s="29">
        <v>-47992.256309165969</v>
      </c>
      <c r="CO49" s="29">
        <v>3.6908304318785667E-3</v>
      </c>
      <c r="CQ49" s="29">
        <v>1.4000053342897445E-3</v>
      </c>
      <c r="CS49" s="29">
        <v>30014112.690000001</v>
      </c>
      <c r="CU49" s="29">
        <v>123038.59656350109</v>
      </c>
      <c r="CW49" s="29">
        <v>2.7425610642239917E-3</v>
      </c>
      <c r="CY49" s="29">
        <v>0</v>
      </c>
      <c r="DA49" s="29">
        <v>16382433.810000001</v>
      </c>
      <c r="DC49" s="29"/>
      <c r="DD49" s="5"/>
      <c r="DE49" s="29"/>
      <c r="DF49" s="5"/>
      <c r="DG49" s="29"/>
      <c r="DH49" s="5"/>
      <c r="DI49" s="29">
        <f t="shared" ref="DI49:DI53" si="88">I49</f>
        <v>0</v>
      </c>
      <c r="DJ49" s="5"/>
      <c r="DK49" s="29">
        <f t="shared" ref="DK49:DO53" si="89">K49-M49</f>
        <v>0</v>
      </c>
      <c r="DL49" s="5"/>
      <c r="DM49" s="29">
        <f t="shared" si="89"/>
        <v>0</v>
      </c>
      <c r="DN49" s="5"/>
      <c r="DO49" s="29">
        <f t="shared" si="89"/>
        <v>0</v>
      </c>
      <c r="DP49" s="5"/>
      <c r="DQ49" s="29">
        <f t="shared" ref="DQ49:DQ53" si="90">Q49</f>
        <v>0</v>
      </c>
      <c r="DR49" s="5"/>
      <c r="DS49" s="29">
        <f t="shared" ref="DS49:DW61" si="91">S49-U49</f>
        <v>0</v>
      </c>
      <c r="DT49" s="5"/>
      <c r="DU49" s="29">
        <f t="shared" si="91"/>
        <v>0</v>
      </c>
      <c r="DV49" s="5"/>
      <c r="DW49" s="29">
        <f t="shared" si="91"/>
        <v>0</v>
      </c>
      <c r="DX49" s="5"/>
      <c r="DY49" s="29">
        <f t="shared" ref="DY49:DY53" si="92">Y49</f>
        <v>0</v>
      </c>
      <c r="DZ49" s="5"/>
      <c r="EA49" s="29">
        <f t="shared" ref="EA49:EE61" si="93">AA49-AC49</f>
        <v>0</v>
      </c>
      <c r="EB49" s="5"/>
      <c r="EC49" s="29">
        <f t="shared" si="93"/>
        <v>0</v>
      </c>
      <c r="ED49" s="5"/>
      <c r="EE49" s="29">
        <f t="shared" si="93"/>
        <v>0</v>
      </c>
      <c r="EF49" s="5"/>
      <c r="EG49" s="29">
        <f t="shared" ref="EG49:EG53" si="94">AG49</f>
        <v>0</v>
      </c>
      <c r="EH49" s="5"/>
      <c r="EI49" s="29">
        <f t="shared" ref="EI49:EM53" si="95">AI49-AK49</f>
        <v>0</v>
      </c>
      <c r="EJ49" s="5"/>
      <c r="EK49" s="29">
        <f t="shared" si="95"/>
        <v>0</v>
      </c>
      <c r="EL49" s="5"/>
      <c r="EM49" s="29">
        <f t="shared" si="95"/>
        <v>0</v>
      </c>
      <c r="EN49" s="5"/>
      <c r="EO49" s="29">
        <f t="shared" ref="EO49:EO61" si="96">AO49</f>
        <v>0</v>
      </c>
      <c r="EP49" s="5"/>
      <c r="EQ49" s="29">
        <f t="shared" ref="EQ49:EQ62" si="97">AQ49-AS49</f>
        <v>0</v>
      </c>
      <c r="ER49" s="5"/>
      <c r="ES49" s="29">
        <f t="shared" ref="ES49:ES62" si="98">AS49-AU49</f>
        <v>0</v>
      </c>
      <c r="ET49" s="5"/>
      <c r="EU49" s="29">
        <f t="shared" ref="EU49:EU62" si="99">AU49-AW49</f>
        <v>0</v>
      </c>
      <c r="EV49" s="5"/>
      <c r="EW49" s="29">
        <f t="shared" ref="EW49:EW53" si="100">AW49</f>
        <v>0</v>
      </c>
      <c r="EX49" s="5"/>
      <c r="EY49" s="29">
        <f t="shared" ref="EY49:FC62" si="101">AY49-BA49</f>
        <v>0</v>
      </c>
      <c r="EZ49" s="5"/>
      <c r="FA49" s="29">
        <f t="shared" si="101"/>
        <v>0</v>
      </c>
      <c r="FB49" s="5"/>
      <c r="FC49" s="29">
        <f t="shared" si="101"/>
        <v>0</v>
      </c>
      <c r="FD49" s="5"/>
      <c r="FE49" s="29">
        <f t="shared" ref="FE49:FE53" si="102">BE49</f>
        <v>0</v>
      </c>
      <c r="FF49" s="5"/>
      <c r="FG49" s="29">
        <v>0</v>
      </c>
      <c r="FH49" s="5"/>
      <c r="FI49" s="29">
        <v>0</v>
      </c>
      <c r="FJ49" s="5"/>
      <c r="FK49" s="29">
        <f t="shared" ref="FK49:FK62" si="103">BK49-BM49</f>
        <v>0</v>
      </c>
      <c r="FL49" s="5"/>
      <c r="FM49" s="29">
        <f t="shared" ref="FM49:FM62" si="104">BM49-BO49</f>
        <v>0</v>
      </c>
      <c r="FN49" s="5"/>
      <c r="FO49" s="29">
        <f t="shared" ref="FO49:FO62" si="105">BO49-BQ49</f>
        <v>0</v>
      </c>
      <c r="FP49" s="5"/>
      <c r="FQ49" s="29">
        <f t="shared" ref="FQ49:FQ62" si="106">BQ49-BS49</f>
        <v>0</v>
      </c>
      <c r="FR49" s="5"/>
      <c r="FS49" s="29">
        <f t="shared" ref="FS49:FS62" si="107">BS49</f>
        <v>0</v>
      </c>
      <c r="FT49" s="5"/>
      <c r="FU49" s="29">
        <f t="shared" ref="FU49:FY62" si="108">BU49-BW49</f>
        <v>0</v>
      </c>
      <c r="FV49" s="5"/>
      <c r="FW49" s="29">
        <f t="shared" si="108"/>
        <v>0</v>
      </c>
      <c r="FX49" s="5"/>
      <c r="FY49" s="29">
        <f t="shared" si="108"/>
        <v>0</v>
      </c>
      <c r="FZ49" s="5"/>
      <c r="GA49" s="29">
        <f t="shared" ref="GA49:GA62" si="109">CA49</f>
        <v>0</v>
      </c>
      <c r="GB49" s="5"/>
      <c r="GC49" s="29">
        <f t="shared" ref="GC49:GG62" si="110">CC49-CE49</f>
        <v>0</v>
      </c>
      <c r="GD49" s="5"/>
      <c r="GE49" s="29">
        <f t="shared" si="110"/>
        <v>0</v>
      </c>
      <c r="GF49" s="5"/>
      <c r="GG49" s="29">
        <f t="shared" si="110"/>
        <v>0</v>
      </c>
      <c r="GH49" s="5"/>
      <c r="GI49" s="29">
        <f t="shared" ref="GI49:GI62" si="111">CI49</f>
        <v>0</v>
      </c>
      <c r="GJ49" s="5"/>
      <c r="GK49" s="29">
        <f t="shared" ref="GK49:GM62" si="112">CK49-CM49</f>
        <v>47992.256309165969</v>
      </c>
      <c r="GL49" s="5"/>
      <c r="GM49" s="29">
        <f t="shared" si="112"/>
        <v>-47992.2599999964</v>
      </c>
      <c r="GN49" s="5"/>
      <c r="GO49" s="29">
        <f t="shared" ref="GO49:GO62" si="113">CO49-CQ49</f>
        <v>2.2908250975888222E-3</v>
      </c>
      <c r="GP49" s="5"/>
      <c r="GQ49" s="29">
        <f t="shared" ref="GQ49:GQ62" si="114">CQ49</f>
        <v>1.4000053342897445E-3</v>
      </c>
      <c r="GR49" s="5"/>
      <c r="GS49" s="29">
        <f t="shared" ref="GS49:GU62" si="115">CS49-CU49</f>
        <v>29891074.093436502</v>
      </c>
      <c r="GT49" s="5"/>
      <c r="GU49" s="29">
        <f t="shared" si="115"/>
        <v>123038.59382094003</v>
      </c>
    </row>
    <row r="50" spans="1:203">
      <c r="A50" s="38" t="s">
        <v>125</v>
      </c>
      <c r="C50" s="29"/>
      <c r="E50" s="29"/>
      <c r="G50" s="29"/>
      <c r="I50" s="29">
        <v>0</v>
      </c>
      <c r="K50" s="29">
        <v>0</v>
      </c>
      <c r="M50" s="29">
        <v>0</v>
      </c>
      <c r="O50" s="29">
        <v>0</v>
      </c>
      <c r="Q50" s="29">
        <v>0</v>
      </c>
      <c r="S50" s="29">
        <v>0</v>
      </c>
      <c r="U50" s="29">
        <v>7073304.721979999</v>
      </c>
      <c r="W50" s="29">
        <v>1978398.2600000016</v>
      </c>
      <c r="Y50" s="29">
        <v>0</v>
      </c>
      <c r="AA50" s="29">
        <v>22977290.719999999</v>
      </c>
      <c r="AC50" s="29">
        <v>17337298.280000001</v>
      </c>
      <c r="AE50" s="29">
        <v>13742959.310000001</v>
      </c>
      <c r="AG50" s="29">
        <v>0</v>
      </c>
      <c r="AI50" s="29">
        <v>0</v>
      </c>
      <c r="AK50" s="29">
        <v>0</v>
      </c>
      <c r="AM50" s="29">
        <v>0</v>
      </c>
      <c r="AO50" s="29">
        <v>0</v>
      </c>
      <c r="AQ50" s="29">
        <v>1082000.0000000009</v>
      </c>
      <c r="AS50" s="29">
        <v>1027995.4800000002</v>
      </c>
      <c r="AU50" s="29">
        <v>7064942.8600000003</v>
      </c>
      <c r="AW50" s="29">
        <v>0</v>
      </c>
      <c r="AY50" s="29">
        <v>-1584.5100000011735</v>
      </c>
      <c r="BA50" s="29">
        <v>0</v>
      </c>
      <c r="BC50" s="29">
        <v>0</v>
      </c>
      <c r="BE50" s="29">
        <v>0</v>
      </c>
      <c r="BG50" s="29">
        <v>18685685</v>
      </c>
      <c r="BI50" s="29">
        <v>19506958.740000002</v>
      </c>
      <c r="BK50" s="29">
        <v>18504515.630000003</v>
      </c>
      <c r="BM50" s="29">
        <v>1703830.2199999997</v>
      </c>
      <c r="BO50" s="29">
        <v>5434579.5600000005</v>
      </c>
      <c r="BQ50" s="29">
        <v>4657671.9500000011</v>
      </c>
      <c r="BS50" s="29">
        <v>2206150.5100000007</v>
      </c>
      <c r="BU50" s="29">
        <v>1686190.4000000001</v>
      </c>
      <c r="BW50" s="29">
        <v>2949471.1580000008</v>
      </c>
      <c r="BY50" s="29">
        <v>2723579.9800000004</v>
      </c>
      <c r="CA50" s="29">
        <v>2172190.0200000005</v>
      </c>
      <c r="CC50" s="29">
        <v>-164.47000000113621</v>
      </c>
      <c r="CE50" s="29">
        <v>7108.0699999993667</v>
      </c>
      <c r="CG50" s="29">
        <v>2081.3499999996275</v>
      </c>
      <c r="CI50" s="29">
        <v>0</v>
      </c>
      <c r="CK50" s="29">
        <v>3494357.0700000008</v>
      </c>
      <c r="CM50" s="29">
        <v>3371979.56</v>
      </c>
      <c r="CO50" s="29">
        <v>3496538.95</v>
      </c>
      <c r="CQ50" s="29">
        <v>3498017.3400000003</v>
      </c>
      <c r="CS50" s="29">
        <v>2928357.83</v>
      </c>
      <c r="CU50" s="29">
        <v>1454618.68</v>
      </c>
      <c r="CW50" s="29">
        <v>1124931.1400000004</v>
      </c>
      <c r="CY50" s="29">
        <v>0</v>
      </c>
      <c r="DA50" s="29">
        <v>9900000</v>
      </c>
      <c r="DC50" s="29"/>
      <c r="DD50" s="5"/>
      <c r="DE50" s="29"/>
      <c r="DF50" s="5"/>
      <c r="DG50" s="29"/>
      <c r="DH50" s="5"/>
      <c r="DI50" s="29">
        <f t="shared" si="88"/>
        <v>0</v>
      </c>
      <c r="DJ50" s="5"/>
      <c r="DK50" s="29">
        <f t="shared" si="89"/>
        <v>0</v>
      </c>
      <c r="DL50" s="5"/>
      <c r="DM50" s="29">
        <f t="shared" si="89"/>
        <v>0</v>
      </c>
      <c r="DN50" s="5"/>
      <c r="DO50" s="29">
        <f t="shared" si="89"/>
        <v>0</v>
      </c>
      <c r="DP50" s="5"/>
      <c r="DQ50" s="29">
        <f t="shared" si="90"/>
        <v>0</v>
      </c>
      <c r="DR50" s="5"/>
      <c r="DS50" s="29">
        <f t="shared" si="91"/>
        <v>-7073304.721979999</v>
      </c>
      <c r="DT50" s="5"/>
      <c r="DU50" s="29">
        <f t="shared" si="91"/>
        <v>5094906.4619799973</v>
      </c>
      <c r="DV50" s="5"/>
      <c r="DW50" s="29">
        <f t="shared" si="91"/>
        <v>1978398.2600000016</v>
      </c>
      <c r="DX50" s="5"/>
      <c r="DY50" s="29">
        <f t="shared" si="92"/>
        <v>0</v>
      </c>
      <c r="DZ50" s="5"/>
      <c r="EA50" s="29">
        <f t="shared" si="93"/>
        <v>5639992.4399999976</v>
      </c>
      <c r="EB50" s="5"/>
      <c r="EC50" s="29">
        <f t="shared" si="93"/>
        <v>3594338.9700000007</v>
      </c>
      <c r="ED50" s="5"/>
      <c r="EE50" s="29">
        <f t="shared" si="93"/>
        <v>13742959.310000001</v>
      </c>
      <c r="EF50" s="5"/>
      <c r="EG50" s="29">
        <f t="shared" si="94"/>
        <v>0</v>
      </c>
      <c r="EH50" s="5"/>
      <c r="EI50" s="29">
        <f t="shared" si="95"/>
        <v>0</v>
      </c>
      <c r="EJ50" s="5"/>
      <c r="EK50" s="29">
        <f t="shared" si="95"/>
        <v>0</v>
      </c>
      <c r="EL50" s="5"/>
      <c r="EM50" s="29">
        <f t="shared" si="95"/>
        <v>0</v>
      </c>
      <c r="EN50" s="5"/>
      <c r="EO50" s="29">
        <f t="shared" si="96"/>
        <v>0</v>
      </c>
      <c r="EP50" s="5"/>
      <c r="EQ50" s="29">
        <f t="shared" si="97"/>
        <v>54004.520000000717</v>
      </c>
      <c r="ER50" s="5"/>
      <c r="ES50" s="29">
        <f t="shared" si="98"/>
        <v>-6036947.3799999999</v>
      </c>
      <c r="ET50" s="5"/>
      <c r="EU50" s="29">
        <f t="shared" si="99"/>
        <v>7064942.8600000003</v>
      </c>
      <c r="EV50" s="5"/>
      <c r="EW50" s="29">
        <f t="shared" si="100"/>
        <v>0</v>
      </c>
      <c r="EX50" s="5"/>
      <c r="EY50" s="29">
        <f t="shared" si="101"/>
        <v>-1584.5100000011735</v>
      </c>
      <c r="EZ50" s="5"/>
      <c r="FA50" s="29">
        <f t="shared" si="101"/>
        <v>0</v>
      </c>
      <c r="FB50" s="5"/>
      <c r="FC50" s="29">
        <f t="shared" si="101"/>
        <v>0</v>
      </c>
      <c r="FD50" s="5"/>
      <c r="FE50" s="29">
        <f t="shared" si="102"/>
        <v>0</v>
      </c>
      <c r="FF50" s="5"/>
      <c r="FG50" s="29">
        <v>-821273.74000000057</v>
      </c>
      <c r="FH50" s="5"/>
      <c r="FI50" s="29">
        <f t="shared" ref="FI50:FI62" si="116">BI50-BK50</f>
        <v>1002443.1099999994</v>
      </c>
      <c r="FJ50" s="5"/>
      <c r="FK50" s="29">
        <f t="shared" si="103"/>
        <v>16800685.410000004</v>
      </c>
      <c r="FL50" s="5"/>
      <c r="FM50" s="29">
        <f t="shared" si="104"/>
        <v>-3730749.3400000008</v>
      </c>
      <c r="FN50" s="5"/>
      <c r="FO50" s="29">
        <f t="shared" si="105"/>
        <v>776907.6099999994</v>
      </c>
      <c r="FP50" s="5"/>
      <c r="FQ50" s="29">
        <f t="shared" si="106"/>
        <v>2451521.4400000004</v>
      </c>
      <c r="FR50" s="5"/>
      <c r="FS50" s="29">
        <f t="shared" si="107"/>
        <v>2206150.5100000007</v>
      </c>
      <c r="FT50" s="5"/>
      <c r="FU50" s="29">
        <f t="shared" si="108"/>
        <v>-1263280.7580000006</v>
      </c>
      <c r="FV50" s="5"/>
      <c r="FW50" s="29">
        <f t="shared" si="108"/>
        <v>225891.17800000031</v>
      </c>
      <c r="FX50" s="5"/>
      <c r="FY50" s="29">
        <f t="shared" si="108"/>
        <v>551389.96</v>
      </c>
      <c r="FZ50" s="5"/>
      <c r="GA50" s="29">
        <f t="shared" si="109"/>
        <v>2172190.0200000005</v>
      </c>
      <c r="GB50" s="5"/>
      <c r="GC50" s="29">
        <f t="shared" si="110"/>
        <v>-7272.5400000005029</v>
      </c>
      <c r="GD50" s="5"/>
      <c r="GE50" s="29">
        <f t="shared" si="110"/>
        <v>5026.7199999997392</v>
      </c>
      <c r="GF50" s="5"/>
      <c r="GG50" s="29">
        <f t="shared" si="110"/>
        <v>2081.3499999996275</v>
      </c>
      <c r="GH50" s="5"/>
      <c r="GI50" s="29">
        <f t="shared" si="111"/>
        <v>0</v>
      </c>
      <c r="GJ50" s="5"/>
      <c r="GK50" s="29">
        <f t="shared" si="112"/>
        <v>122377.51000000071</v>
      </c>
      <c r="GL50" s="5"/>
      <c r="GM50" s="29">
        <f t="shared" si="112"/>
        <v>-124559.39000000013</v>
      </c>
      <c r="GN50" s="5"/>
      <c r="GO50" s="29">
        <f t="shared" si="113"/>
        <v>-1478.3900000001304</v>
      </c>
      <c r="GP50" s="5"/>
      <c r="GQ50" s="29">
        <f t="shared" si="114"/>
        <v>3498017.3400000003</v>
      </c>
      <c r="GR50" s="5"/>
      <c r="GS50" s="29">
        <f t="shared" si="115"/>
        <v>1473739.1500000001</v>
      </c>
      <c r="GT50" s="5"/>
      <c r="GU50" s="29">
        <f t="shared" si="115"/>
        <v>329687.53999999957</v>
      </c>
    </row>
    <row r="51" spans="1:203">
      <c r="A51" s="38" t="s">
        <v>126</v>
      </c>
      <c r="C51" s="29"/>
      <c r="E51" s="29"/>
      <c r="G51" s="29"/>
      <c r="I51" s="29">
        <v>0</v>
      </c>
      <c r="K51" s="29">
        <v>0</v>
      </c>
      <c r="M51" s="29">
        <v>0</v>
      </c>
      <c r="O51" s="29">
        <v>0</v>
      </c>
      <c r="Q51" s="29">
        <v>0</v>
      </c>
      <c r="S51" s="29">
        <v>0</v>
      </c>
      <c r="U51" s="29">
        <v>0</v>
      </c>
      <c r="W51" s="29">
        <v>0</v>
      </c>
      <c r="Y51" s="29">
        <v>0</v>
      </c>
      <c r="AA51" s="29">
        <v>0</v>
      </c>
      <c r="AC51" s="29">
        <v>0</v>
      </c>
      <c r="AE51" s="29">
        <v>0</v>
      </c>
      <c r="AG51" s="29">
        <v>0</v>
      </c>
      <c r="AI51" s="29">
        <v>0</v>
      </c>
      <c r="AK51" s="29">
        <v>0</v>
      </c>
      <c r="AM51" s="29">
        <v>0</v>
      </c>
      <c r="AO51" s="29">
        <v>0</v>
      </c>
      <c r="AQ51" s="29">
        <v>0</v>
      </c>
      <c r="AS51" s="29">
        <v>0</v>
      </c>
      <c r="AU51" s="29">
        <v>0</v>
      </c>
      <c r="AW51" s="29">
        <v>0</v>
      </c>
      <c r="AY51" s="29">
        <v>0</v>
      </c>
      <c r="BA51" s="29">
        <v>0</v>
      </c>
      <c r="BC51" s="29">
        <v>0</v>
      </c>
      <c r="BE51" s="29">
        <v>0</v>
      </c>
      <c r="BG51" s="29">
        <v>0</v>
      </c>
      <c r="BI51" s="29">
        <v>0</v>
      </c>
      <c r="BK51" s="29">
        <v>0</v>
      </c>
      <c r="BM51" s="29">
        <v>0</v>
      </c>
      <c r="BO51" s="29">
        <v>0</v>
      </c>
      <c r="BQ51" s="29">
        <v>0</v>
      </c>
      <c r="BS51" s="29">
        <v>0</v>
      </c>
      <c r="BU51" s="29">
        <v>0</v>
      </c>
      <c r="BW51" s="29">
        <v>0</v>
      </c>
      <c r="BY51" s="29">
        <v>0</v>
      </c>
      <c r="CA51" s="29">
        <v>0</v>
      </c>
      <c r="CC51" s="29">
        <v>0</v>
      </c>
      <c r="CE51" s="29">
        <v>0</v>
      </c>
      <c r="CG51" s="29">
        <v>0</v>
      </c>
      <c r="CI51" s="29">
        <v>0</v>
      </c>
      <c r="CK51" s="29">
        <v>0</v>
      </c>
      <c r="CM51" s="29">
        <v>0</v>
      </c>
      <c r="CO51" s="29">
        <v>0</v>
      </c>
      <c r="CQ51" s="29">
        <v>0</v>
      </c>
      <c r="CS51" s="29">
        <v>0</v>
      </c>
      <c r="CU51" s="29">
        <v>0</v>
      </c>
      <c r="CW51" s="29">
        <v>0</v>
      </c>
      <c r="CY51" s="29">
        <v>0</v>
      </c>
      <c r="DA51" s="29">
        <v>0</v>
      </c>
      <c r="DC51" s="29"/>
      <c r="DD51" s="5"/>
      <c r="DE51" s="29"/>
      <c r="DF51" s="5"/>
      <c r="DG51" s="29"/>
      <c r="DH51" s="5"/>
      <c r="DI51" s="29">
        <f t="shared" si="88"/>
        <v>0</v>
      </c>
      <c r="DJ51" s="5"/>
      <c r="DK51" s="29">
        <f t="shared" si="89"/>
        <v>0</v>
      </c>
      <c r="DL51" s="5"/>
      <c r="DM51" s="29">
        <f t="shared" si="89"/>
        <v>0</v>
      </c>
      <c r="DN51" s="5"/>
      <c r="DO51" s="29">
        <f t="shared" si="89"/>
        <v>0</v>
      </c>
      <c r="DP51" s="5"/>
      <c r="DQ51" s="29">
        <f t="shared" si="90"/>
        <v>0</v>
      </c>
      <c r="DR51" s="5"/>
      <c r="DS51" s="29">
        <f t="shared" si="91"/>
        <v>0</v>
      </c>
      <c r="DT51" s="5"/>
      <c r="DU51" s="29">
        <f t="shared" si="91"/>
        <v>0</v>
      </c>
      <c r="DV51" s="5"/>
      <c r="DW51" s="29">
        <f t="shared" si="91"/>
        <v>0</v>
      </c>
      <c r="DX51" s="5"/>
      <c r="DY51" s="29">
        <f t="shared" si="92"/>
        <v>0</v>
      </c>
      <c r="DZ51" s="5"/>
      <c r="EA51" s="29">
        <f t="shared" si="93"/>
        <v>0</v>
      </c>
      <c r="EB51" s="5"/>
      <c r="EC51" s="29">
        <f t="shared" si="93"/>
        <v>0</v>
      </c>
      <c r="ED51" s="5"/>
      <c r="EE51" s="29">
        <f t="shared" si="93"/>
        <v>0</v>
      </c>
      <c r="EF51" s="5"/>
      <c r="EG51" s="29">
        <f t="shared" si="94"/>
        <v>0</v>
      </c>
      <c r="EH51" s="5"/>
      <c r="EI51" s="29">
        <f t="shared" si="95"/>
        <v>0</v>
      </c>
      <c r="EJ51" s="5"/>
      <c r="EK51" s="29">
        <f t="shared" si="95"/>
        <v>0</v>
      </c>
      <c r="EL51" s="5"/>
      <c r="EM51" s="29">
        <f t="shared" si="95"/>
        <v>0</v>
      </c>
      <c r="EN51" s="5"/>
      <c r="EO51" s="29">
        <f t="shared" si="96"/>
        <v>0</v>
      </c>
      <c r="EP51" s="5"/>
      <c r="EQ51" s="29">
        <f t="shared" si="97"/>
        <v>0</v>
      </c>
      <c r="ER51" s="5"/>
      <c r="ES51" s="29">
        <f t="shared" si="98"/>
        <v>0</v>
      </c>
      <c r="ET51" s="5"/>
      <c r="EU51" s="29">
        <f t="shared" si="99"/>
        <v>0</v>
      </c>
      <c r="EV51" s="5"/>
      <c r="EW51" s="29">
        <f t="shared" si="100"/>
        <v>0</v>
      </c>
      <c r="EX51" s="5"/>
      <c r="EY51" s="29">
        <f t="shared" si="101"/>
        <v>0</v>
      </c>
      <c r="EZ51" s="5"/>
      <c r="FA51" s="29">
        <f t="shared" si="101"/>
        <v>0</v>
      </c>
      <c r="FB51" s="5"/>
      <c r="FC51" s="29">
        <f t="shared" si="101"/>
        <v>0</v>
      </c>
      <c r="FD51" s="5"/>
      <c r="FE51" s="29">
        <f t="shared" si="102"/>
        <v>0</v>
      </c>
      <c r="FF51" s="5"/>
      <c r="FG51" s="29">
        <v>0</v>
      </c>
      <c r="FH51" s="5"/>
      <c r="FI51" s="29">
        <f t="shared" si="116"/>
        <v>0</v>
      </c>
      <c r="FJ51" s="5"/>
      <c r="FK51" s="29">
        <f t="shared" si="103"/>
        <v>0</v>
      </c>
      <c r="FL51" s="5"/>
      <c r="FM51" s="29">
        <f t="shared" si="104"/>
        <v>0</v>
      </c>
      <c r="FN51" s="5"/>
      <c r="FO51" s="29">
        <f t="shared" si="105"/>
        <v>0</v>
      </c>
      <c r="FP51" s="5"/>
      <c r="FQ51" s="29">
        <f t="shared" si="106"/>
        <v>0</v>
      </c>
      <c r="FR51" s="5"/>
      <c r="FS51" s="29">
        <f t="shared" si="107"/>
        <v>0</v>
      </c>
      <c r="FT51" s="5"/>
      <c r="FU51" s="29">
        <f t="shared" si="108"/>
        <v>0</v>
      </c>
      <c r="FV51" s="5"/>
      <c r="FW51" s="29">
        <f t="shared" si="108"/>
        <v>0</v>
      </c>
      <c r="FX51" s="5"/>
      <c r="FY51" s="29">
        <f t="shared" si="108"/>
        <v>0</v>
      </c>
      <c r="FZ51" s="5"/>
      <c r="GA51" s="29">
        <f t="shared" si="109"/>
        <v>0</v>
      </c>
      <c r="GB51" s="5"/>
      <c r="GC51" s="29">
        <f t="shared" si="110"/>
        <v>0</v>
      </c>
      <c r="GD51" s="5"/>
      <c r="GE51" s="29">
        <f t="shared" si="110"/>
        <v>0</v>
      </c>
      <c r="GF51" s="5"/>
      <c r="GG51" s="29">
        <f t="shared" si="110"/>
        <v>0</v>
      </c>
      <c r="GH51" s="5"/>
      <c r="GI51" s="29">
        <f t="shared" si="111"/>
        <v>0</v>
      </c>
      <c r="GJ51" s="5"/>
      <c r="GK51" s="29">
        <f t="shared" si="112"/>
        <v>0</v>
      </c>
      <c r="GL51" s="5"/>
      <c r="GM51" s="29">
        <f t="shared" si="112"/>
        <v>0</v>
      </c>
      <c r="GN51" s="5"/>
      <c r="GO51" s="29">
        <f t="shared" si="113"/>
        <v>0</v>
      </c>
      <c r="GP51" s="5"/>
      <c r="GQ51" s="29">
        <f t="shared" si="114"/>
        <v>0</v>
      </c>
      <c r="GR51" s="5"/>
      <c r="GS51" s="29">
        <f t="shared" si="115"/>
        <v>0</v>
      </c>
      <c r="GT51" s="5"/>
      <c r="GU51" s="29">
        <f t="shared" si="115"/>
        <v>0</v>
      </c>
    </row>
    <row r="52" spans="1:203">
      <c r="A52" s="38" t="s">
        <v>127</v>
      </c>
      <c r="C52" s="29"/>
      <c r="E52" s="29"/>
      <c r="G52" s="29"/>
      <c r="I52" s="29">
        <v>0</v>
      </c>
      <c r="K52" s="29">
        <v>0</v>
      </c>
      <c r="M52" s="29">
        <v>0</v>
      </c>
      <c r="O52" s="29">
        <v>0</v>
      </c>
      <c r="Q52" s="29">
        <v>0</v>
      </c>
      <c r="S52" s="29">
        <v>0</v>
      </c>
      <c r="U52" s="29">
        <v>0</v>
      </c>
      <c r="W52" s="29">
        <v>0</v>
      </c>
      <c r="Y52" s="29">
        <v>0</v>
      </c>
      <c r="AA52" s="29">
        <v>0</v>
      </c>
      <c r="AC52" s="29">
        <v>0</v>
      </c>
      <c r="AE52" s="29">
        <v>0</v>
      </c>
      <c r="AG52" s="29">
        <v>0</v>
      </c>
      <c r="AI52" s="29">
        <v>6.0128048062324497E-5</v>
      </c>
      <c r="AK52" s="29">
        <v>0</v>
      </c>
      <c r="AM52" s="29">
        <v>0</v>
      </c>
      <c r="AO52" s="29">
        <v>0</v>
      </c>
      <c r="AQ52" s="29">
        <v>8.3274208009243011E-5</v>
      </c>
      <c r="AS52" s="29">
        <v>0.87216287829505745</v>
      </c>
      <c r="AU52" s="29">
        <v>0</v>
      </c>
      <c r="AW52" s="29">
        <v>0</v>
      </c>
      <c r="AY52" s="169">
        <v>0</v>
      </c>
      <c r="BA52" s="29">
        <v>-17027.560000000136</v>
      </c>
      <c r="BC52" s="29">
        <v>-17027.560000000067</v>
      </c>
      <c r="BE52" s="29">
        <v>0</v>
      </c>
      <c r="BG52" s="29">
        <v>0</v>
      </c>
      <c r="BI52" s="29">
        <v>0</v>
      </c>
      <c r="BK52" s="29">
        <v>0</v>
      </c>
      <c r="BM52" s="29">
        <v>5.5933924159035087E-11</v>
      </c>
      <c r="BO52" s="29">
        <v>0</v>
      </c>
      <c r="BQ52" s="29">
        <v>0</v>
      </c>
      <c r="BS52" s="29">
        <v>9.3132251910432728E-11</v>
      </c>
      <c r="BU52" s="29">
        <v>0</v>
      </c>
      <c r="BW52" s="29">
        <v>0</v>
      </c>
      <c r="BY52" s="29">
        <v>0</v>
      </c>
      <c r="CA52" s="29">
        <v>4.6566139833004172E-11</v>
      </c>
      <c r="CC52" s="29">
        <v>0</v>
      </c>
      <c r="CE52" s="29">
        <v>0</v>
      </c>
      <c r="CG52" s="29">
        <v>0</v>
      </c>
      <c r="CI52" s="29">
        <v>3.637978807091713E-11</v>
      </c>
      <c r="CK52" s="29">
        <v>0</v>
      </c>
      <c r="CM52" s="29">
        <v>0</v>
      </c>
      <c r="CO52" s="29">
        <v>0</v>
      </c>
      <c r="CQ52" s="29">
        <v>0</v>
      </c>
      <c r="CS52" s="29">
        <v>0</v>
      </c>
      <c r="CU52" s="29">
        <v>0</v>
      </c>
      <c r="CW52" s="29">
        <v>0</v>
      </c>
      <c r="CY52" s="29">
        <v>0</v>
      </c>
      <c r="DA52" s="29">
        <v>0</v>
      </c>
      <c r="DC52" s="29"/>
      <c r="DD52" s="5"/>
      <c r="DE52" s="29"/>
      <c r="DF52" s="5"/>
      <c r="DG52" s="29"/>
      <c r="DH52" s="5"/>
      <c r="DI52" s="29">
        <f t="shared" si="88"/>
        <v>0</v>
      </c>
      <c r="DJ52" s="5"/>
      <c r="DK52" s="29">
        <f t="shared" si="89"/>
        <v>0</v>
      </c>
      <c r="DL52" s="5"/>
      <c r="DM52" s="29">
        <f t="shared" si="89"/>
        <v>0</v>
      </c>
      <c r="DN52" s="5"/>
      <c r="DO52" s="29">
        <f t="shared" si="89"/>
        <v>0</v>
      </c>
      <c r="DP52" s="5"/>
      <c r="DQ52" s="29">
        <f t="shared" si="90"/>
        <v>0</v>
      </c>
      <c r="DR52" s="5"/>
      <c r="DS52" s="29">
        <f t="shared" si="91"/>
        <v>0</v>
      </c>
      <c r="DT52" s="5"/>
      <c r="DU52" s="29">
        <f t="shared" si="91"/>
        <v>0</v>
      </c>
      <c r="DV52" s="5"/>
      <c r="DW52" s="29">
        <f t="shared" si="91"/>
        <v>0</v>
      </c>
      <c r="DX52" s="5"/>
      <c r="DY52" s="29">
        <f t="shared" si="92"/>
        <v>0</v>
      </c>
      <c r="DZ52" s="5"/>
      <c r="EA52" s="29">
        <f t="shared" si="93"/>
        <v>0</v>
      </c>
      <c r="EB52" s="5"/>
      <c r="EC52" s="29">
        <f t="shared" si="93"/>
        <v>0</v>
      </c>
      <c r="ED52" s="5"/>
      <c r="EE52" s="29">
        <f t="shared" si="93"/>
        <v>0</v>
      </c>
      <c r="EF52" s="5"/>
      <c r="EG52" s="29">
        <f t="shared" si="94"/>
        <v>0</v>
      </c>
      <c r="EH52" s="5"/>
      <c r="EI52" s="29">
        <f t="shared" si="95"/>
        <v>6.0128048062324497E-5</v>
      </c>
      <c r="EJ52" s="5"/>
      <c r="EK52" s="29">
        <f t="shared" si="95"/>
        <v>0</v>
      </c>
      <c r="EL52" s="5"/>
      <c r="EM52" s="29">
        <f t="shared" si="95"/>
        <v>0</v>
      </c>
      <c r="EN52" s="5"/>
      <c r="EO52" s="29">
        <f t="shared" si="96"/>
        <v>0</v>
      </c>
      <c r="EP52" s="5"/>
      <c r="EQ52" s="29">
        <f t="shared" si="97"/>
        <v>-0.87207960408704821</v>
      </c>
      <c r="ER52" s="5"/>
      <c r="ES52" s="29">
        <f t="shared" si="98"/>
        <v>0.87216287829505745</v>
      </c>
      <c r="ET52" s="5"/>
      <c r="EU52" s="29">
        <f t="shared" si="99"/>
        <v>0</v>
      </c>
      <c r="EV52" s="5"/>
      <c r="EW52" s="29">
        <f t="shared" si="100"/>
        <v>0</v>
      </c>
      <c r="EX52" s="5"/>
      <c r="EY52" s="29">
        <f t="shared" si="101"/>
        <v>17027.560000000136</v>
      </c>
      <c r="EZ52" s="5"/>
      <c r="FA52" s="29">
        <f t="shared" si="101"/>
        <v>-6.9121597334742546E-11</v>
      </c>
      <c r="FB52" s="5"/>
      <c r="FC52" s="29">
        <f t="shared" si="101"/>
        <v>-17027.560000000067</v>
      </c>
      <c r="FD52" s="5"/>
      <c r="FE52" s="29">
        <f t="shared" si="102"/>
        <v>0</v>
      </c>
      <c r="FF52" s="5"/>
      <c r="FG52" s="29">
        <v>5.999999976484105E-2</v>
      </c>
      <c r="FH52" s="5"/>
      <c r="FI52" s="29">
        <f t="shared" si="116"/>
        <v>0</v>
      </c>
      <c r="FJ52" s="5"/>
      <c r="FK52" s="29">
        <f t="shared" si="103"/>
        <v>-5.5933924159035087E-11</v>
      </c>
      <c r="FL52" s="5"/>
      <c r="FM52" s="29">
        <f t="shared" si="104"/>
        <v>5.5933924159035087E-11</v>
      </c>
      <c r="FN52" s="5"/>
      <c r="FO52" s="29">
        <f t="shared" si="105"/>
        <v>0</v>
      </c>
      <c r="FP52" s="5"/>
      <c r="FQ52" s="29">
        <f t="shared" si="106"/>
        <v>-9.3132251910432728E-11</v>
      </c>
      <c r="FR52" s="5"/>
      <c r="FS52" s="29">
        <f t="shared" si="107"/>
        <v>9.3132251910432728E-11</v>
      </c>
      <c r="FT52" s="5"/>
      <c r="FU52" s="29">
        <f t="shared" si="108"/>
        <v>0</v>
      </c>
      <c r="FV52" s="5"/>
      <c r="FW52" s="29">
        <f t="shared" si="108"/>
        <v>0</v>
      </c>
      <c r="FX52" s="5"/>
      <c r="FY52" s="29">
        <f t="shared" si="108"/>
        <v>-4.6566139833004172E-11</v>
      </c>
      <c r="FZ52" s="5"/>
      <c r="GA52" s="29">
        <f t="shared" si="109"/>
        <v>4.6566139833004172E-11</v>
      </c>
      <c r="GB52" s="5"/>
      <c r="GC52" s="29">
        <f t="shared" si="110"/>
        <v>0</v>
      </c>
      <c r="GD52" s="5"/>
      <c r="GE52" s="29">
        <f t="shared" si="110"/>
        <v>0</v>
      </c>
      <c r="GF52" s="5"/>
      <c r="GG52" s="29">
        <f t="shared" si="110"/>
        <v>-3.637978807091713E-11</v>
      </c>
      <c r="GH52" s="5"/>
      <c r="GI52" s="29">
        <f t="shared" si="111"/>
        <v>3.637978807091713E-11</v>
      </c>
      <c r="GJ52" s="5"/>
      <c r="GK52" s="29">
        <f t="shared" si="112"/>
        <v>0</v>
      </c>
      <c r="GL52" s="5"/>
      <c r="GM52" s="29">
        <f t="shared" si="112"/>
        <v>0</v>
      </c>
      <c r="GN52" s="5"/>
      <c r="GO52" s="29">
        <f t="shared" si="113"/>
        <v>0</v>
      </c>
      <c r="GP52" s="5"/>
      <c r="GQ52" s="29">
        <f t="shared" si="114"/>
        <v>0</v>
      </c>
      <c r="GR52" s="5"/>
      <c r="GS52" s="29">
        <f t="shared" si="115"/>
        <v>0</v>
      </c>
      <c r="GT52" s="5"/>
      <c r="GU52" s="29">
        <f t="shared" si="115"/>
        <v>0</v>
      </c>
    </row>
    <row r="53" spans="1:203">
      <c r="A53" s="38" t="s">
        <v>128</v>
      </c>
      <c r="C53" s="29"/>
      <c r="E53" s="29"/>
      <c r="G53" s="29"/>
      <c r="I53" s="29">
        <v>0</v>
      </c>
      <c r="K53" s="29">
        <v>0</v>
      </c>
      <c r="M53" s="29">
        <v>0</v>
      </c>
      <c r="O53" s="29">
        <v>0</v>
      </c>
      <c r="Q53" s="29">
        <v>0</v>
      </c>
      <c r="S53" s="29">
        <v>0</v>
      </c>
      <c r="U53" s="29">
        <v>0</v>
      </c>
      <c r="W53" s="29">
        <v>0</v>
      </c>
      <c r="Y53" s="29">
        <v>0</v>
      </c>
      <c r="AA53" s="29">
        <v>0</v>
      </c>
      <c r="AC53" s="29">
        <v>0</v>
      </c>
      <c r="AE53" s="29">
        <v>0</v>
      </c>
      <c r="AG53" s="29">
        <v>0</v>
      </c>
      <c r="AI53" s="29">
        <v>0</v>
      </c>
      <c r="AK53" s="29">
        <v>0</v>
      </c>
      <c r="AM53" s="29">
        <v>0</v>
      </c>
      <c r="AO53" s="29">
        <v>0</v>
      </c>
      <c r="AQ53" s="29">
        <v>0</v>
      </c>
      <c r="AS53" s="29">
        <v>0</v>
      </c>
      <c r="AU53" s="29">
        <v>0</v>
      </c>
      <c r="AW53" s="29">
        <v>0</v>
      </c>
      <c r="AY53" s="29">
        <v>0</v>
      </c>
      <c r="BA53" s="29">
        <v>0</v>
      </c>
      <c r="BC53" s="29">
        <v>0</v>
      </c>
      <c r="BE53" s="29">
        <v>0</v>
      </c>
      <c r="BG53" s="29">
        <v>0</v>
      </c>
      <c r="BI53" s="29">
        <v>0</v>
      </c>
      <c r="BK53" s="29">
        <v>0</v>
      </c>
      <c r="BM53" s="29">
        <v>0</v>
      </c>
      <c r="BO53" s="29">
        <v>0</v>
      </c>
      <c r="BQ53" s="29">
        <v>0</v>
      </c>
      <c r="BS53" s="29">
        <v>0</v>
      </c>
      <c r="BU53" s="29">
        <v>0</v>
      </c>
      <c r="BW53" s="29">
        <v>0</v>
      </c>
      <c r="BY53" s="29">
        <v>0</v>
      </c>
      <c r="CA53" s="29">
        <v>0</v>
      </c>
      <c r="CC53" s="29">
        <v>354500</v>
      </c>
      <c r="CE53" s="29">
        <v>0</v>
      </c>
      <c r="CG53" s="29">
        <v>0</v>
      </c>
      <c r="CI53" s="29">
        <v>0</v>
      </c>
      <c r="CK53" s="29">
        <v>2328040</v>
      </c>
      <c r="CM53" s="29">
        <v>2328040</v>
      </c>
      <c r="CO53" s="29">
        <v>2328040</v>
      </c>
      <c r="CQ53" s="29">
        <v>1784705.21</v>
      </c>
      <c r="CS53" s="29">
        <v>5188673.62</v>
      </c>
      <c r="CU53" s="29">
        <v>2346215.02</v>
      </c>
      <c r="CW53" s="29">
        <v>2346215.02</v>
      </c>
      <c r="CY53" s="29">
        <v>0</v>
      </c>
      <c r="DA53" s="29">
        <v>0</v>
      </c>
      <c r="DC53" s="29"/>
      <c r="DD53" s="5"/>
      <c r="DE53" s="29"/>
      <c r="DF53" s="5"/>
      <c r="DG53" s="29"/>
      <c r="DH53" s="5"/>
      <c r="DI53" s="29">
        <f t="shared" si="88"/>
        <v>0</v>
      </c>
      <c r="DJ53" s="5"/>
      <c r="DK53" s="29">
        <f t="shared" si="89"/>
        <v>0</v>
      </c>
      <c r="DL53" s="5"/>
      <c r="DM53" s="29">
        <f t="shared" si="89"/>
        <v>0</v>
      </c>
      <c r="DN53" s="5"/>
      <c r="DO53" s="29">
        <f t="shared" si="89"/>
        <v>0</v>
      </c>
      <c r="DP53" s="5"/>
      <c r="DQ53" s="29">
        <f t="shared" si="90"/>
        <v>0</v>
      </c>
      <c r="DR53" s="5"/>
      <c r="DS53" s="29">
        <f t="shared" si="91"/>
        <v>0</v>
      </c>
      <c r="DT53" s="5"/>
      <c r="DU53" s="29">
        <f t="shared" si="91"/>
        <v>0</v>
      </c>
      <c r="DV53" s="5"/>
      <c r="DW53" s="29">
        <f t="shared" si="91"/>
        <v>0</v>
      </c>
      <c r="DX53" s="5"/>
      <c r="DY53" s="29">
        <f t="shared" si="92"/>
        <v>0</v>
      </c>
      <c r="DZ53" s="5"/>
      <c r="EA53" s="29">
        <f t="shared" si="93"/>
        <v>0</v>
      </c>
      <c r="EB53" s="5"/>
      <c r="EC53" s="29">
        <f t="shared" si="93"/>
        <v>0</v>
      </c>
      <c r="ED53" s="5"/>
      <c r="EE53" s="29">
        <f t="shared" si="93"/>
        <v>0</v>
      </c>
      <c r="EF53" s="5"/>
      <c r="EG53" s="29">
        <f t="shared" si="94"/>
        <v>0</v>
      </c>
      <c r="EH53" s="5"/>
      <c r="EI53" s="29">
        <f t="shared" si="95"/>
        <v>0</v>
      </c>
      <c r="EJ53" s="5"/>
      <c r="EK53" s="29">
        <f t="shared" si="95"/>
        <v>0</v>
      </c>
      <c r="EL53" s="5"/>
      <c r="EM53" s="29">
        <f t="shared" si="95"/>
        <v>0</v>
      </c>
      <c r="EN53" s="5"/>
      <c r="EO53" s="29">
        <f t="shared" si="96"/>
        <v>0</v>
      </c>
      <c r="EP53" s="5"/>
      <c r="EQ53" s="29">
        <f t="shared" si="97"/>
        <v>0</v>
      </c>
      <c r="ER53" s="5"/>
      <c r="ES53" s="29">
        <f t="shared" si="98"/>
        <v>0</v>
      </c>
      <c r="ET53" s="5"/>
      <c r="EU53" s="29">
        <f t="shared" si="99"/>
        <v>0</v>
      </c>
      <c r="EV53" s="5"/>
      <c r="EW53" s="29">
        <f t="shared" si="100"/>
        <v>0</v>
      </c>
      <c r="EX53" s="5"/>
      <c r="EY53" s="29">
        <f t="shared" si="101"/>
        <v>0</v>
      </c>
      <c r="EZ53" s="5"/>
      <c r="FA53" s="29">
        <f t="shared" si="101"/>
        <v>0</v>
      </c>
      <c r="FB53" s="5"/>
      <c r="FC53" s="29">
        <f t="shared" si="101"/>
        <v>0</v>
      </c>
      <c r="FD53" s="5"/>
      <c r="FE53" s="29">
        <f t="shared" si="102"/>
        <v>0</v>
      </c>
      <c r="FF53" s="5"/>
      <c r="FG53" s="29">
        <v>0</v>
      </c>
      <c r="FH53" s="5"/>
      <c r="FI53" s="29">
        <f t="shared" si="116"/>
        <v>0</v>
      </c>
      <c r="FJ53" s="5"/>
      <c r="FK53" s="29">
        <f t="shared" si="103"/>
        <v>0</v>
      </c>
      <c r="FL53" s="5"/>
      <c r="FM53" s="29">
        <f t="shared" si="104"/>
        <v>0</v>
      </c>
      <c r="FN53" s="5"/>
      <c r="FO53" s="29">
        <f t="shared" si="105"/>
        <v>0</v>
      </c>
      <c r="FP53" s="5"/>
      <c r="FQ53" s="29">
        <f t="shared" si="106"/>
        <v>0</v>
      </c>
      <c r="FR53" s="5"/>
      <c r="FS53" s="29">
        <f t="shared" si="107"/>
        <v>0</v>
      </c>
      <c r="FT53" s="5"/>
      <c r="FU53" s="29">
        <f t="shared" si="108"/>
        <v>0</v>
      </c>
      <c r="FV53" s="5"/>
      <c r="FW53" s="29">
        <f t="shared" si="108"/>
        <v>0</v>
      </c>
      <c r="FX53" s="5"/>
      <c r="FY53" s="29">
        <f t="shared" si="108"/>
        <v>0</v>
      </c>
      <c r="FZ53" s="5"/>
      <c r="GA53" s="29">
        <f t="shared" si="109"/>
        <v>0</v>
      </c>
      <c r="GB53" s="5"/>
      <c r="GC53" s="29">
        <f t="shared" si="110"/>
        <v>354500</v>
      </c>
      <c r="GD53" s="5"/>
      <c r="GE53" s="29">
        <f t="shared" si="110"/>
        <v>0</v>
      </c>
      <c r="GF53" s="5"/>
      <c r="GG53" s="29">
        <f t="shared" si="110"/>
        <v>0</v>
      </c>
      <c r="GH53" s="5"/>
      <c r="GI53" s="29">
        <f t="shared" si="111"/>
        <v>0</v>
      </c>
      <c r="GJ53" s="5"/>
      <c r="GK53" s="29">
        <f t="shared" si="112"/>
        <v>0</v>
      </c>
      <c r="GL53" s="5"/>
      <c r="GM53" s="29">
        <f t="shared" si="112"/>
        <v>0</v>
      </c>
      <c r="GN53" s="5"/>
      <c r="GO53" s="29">
        <f t="shared" si="113"/>
        <v>543334.79</v>
      </c>
      <c r="GP53" s="5"/>
      <c r="GQ53" s="29">
        <f t="shared" si="114"/>
        <v>1784705.21</v>
      </c>
      <c r="GR53" s="5"/>
      <c r="GS53" s="29">
        <f t="shared" si="115"/>
        <v>2842458.6</v>
      </c>
      <c r="GT53" s="5"/>
      <c r="GU53" s="29">
        <f t="shared" si="115"/>
        <v>0</v>
      </c>
    </row>
    <row r="54" spans="1:203">
      <c r="A54" s="95" t="s">
        <v>114</v>
      </c>
      <c r="C54" s="29"/>
      <c r="E54" s="29"/>
      <c r="G54" s="29"/>
      <c r="I54" s="29"/>
      <c r="K54" s="29"/>
      <c r="M54" s="29"/>
      <c r="O54" s="29"/>
      <c r="Q54" s="29"/>
      <c r="S54" s="29"/>
      <c r="U54" s="29"/>
      <c r="W54" s="29"/>
      <c r="Y54" s="29"/>
      <c r="AA54" s="29"/>
      <c r="AC54" s="29"/>
      <c r="AE54" s="29"/>
      <c r="AG54" s="29"/>
      <c r="AI54" s="29"/>
      <c r="AK54" s="29"/>
      <c r="AM54" s="29"/>
      <c r="AO54" s="29"/>
      <c r="AQ54" s="29"/>
      <c r="AS54" s="29"/>
      <c r="AU54" s="29"/>
      <c r="AW54" s="29">
        <v>0</v>
      </c>
      <c r="AY54" s="29"/>
      <c r="BA54" s="29"/>
      <c r="BC54" s="29"/>
      <c r="BG54" s="29"/>
      <c r="BI54" s="29"/>
      <c r="CK54">
        <v>0</v>
      </c>
      <c r="CQ54" s="29">
        <v>0</v>
      </c>
      <c r="DC54" s="29"/>
      <c r="DD54" s="5"/>
      <c r="DE54" s="29"/>
      <c r="DF54" s="5"/>
      <c r="DG54" s="29"/>
      <c r="DH54" s="5"/>
      <c r="DI54" s="29"/>
      <c r="DJ54" s="5"/>
      <c r="DK54" s="29"/>
      <c r="DL54" s="5"/>
      <c r="DM54" s="29"/>
      <c r="DN54" s="5"/>
      <c r="DO54" s="29"/>
      <c r="DP54" s="5"/>
      <c r="DQ54" s="29"/>
      <c r="DR54" s="5"/>
      <c r="DS54" s="29">
        <f t="shared" si="91"/>
        <v>0</v>
      </c>
      <c r="DT54" s="5"/>
      <c r="DU54" s="29">
        <f t="shared" si="91"/>
        <v>0</v>
      </c>
      <c r="DV54" s="5"/>
      <c r="DW54" s="29">
        <f t="shared" si="91"/>
        <v>0</v>
      </c>
      <c r="DX54" s="5"/>
      <c r="DY54" s="29"/>
      <c r="DZ54" s="5"/>
      <c r="EA54" s="29">
        <f t="shared" si="93"/>
        <v>0</v>
      </c>
      <c r="EB54" s="5"/>
      <c r="EC54" s="29">
        <f t="shared" si="93"/>
        <v>0</v>
      </c>
      <c r="ED54" s="5"/>
      <c r="EE54" s="29">
        <f t="shared" si="93"/>
        <v>0</v>
      </c>
      <c r="EF54" s="5"/>
      <c r="EG54" s="29"/>
      <c r="EH54" s="5"/>
      <c r="EI54" s="29"/>
      <c r="EJ54" s="5"/>
      <c r="EK54" s="29"/>
      <c r="EL54" s="5"/>
      <c r="EM54" s="29"/>
      <c r="EN54" s="5"/>
      <c r="EO54" s="29"/>
      <c r="EP54" s="5"/>
      <c r="EQ54" s="29">
        <f t="shared" si="97"/>
        <v>0</v>
      </c>
      <c r="ER54" s="5"/>
      <c r="ES54" s="29">
        <f t="shared" si="98"/>
        <v>0</v>
      </c>
      <c r="ET54" s="5"/>
      <c r="EU54" s="29">
        <f t="shared" si="99"/>
        <v>0</v>
      </c>
      <c r="EV54" s="5"/>
      <c r="EW54" s="29"/>
      <c r="EX54" s="5"/>
      <c r="EY54" s="29">
        <f t="shared" si="101"/>
        <v>0</v>
      </c>
      <c r="EZ54" s="5"/>
      <c r="FA54" s="29">
        <f t="shared" si="101"/>
        <v>0</v>
      </c>
      <c r="FB54" s="5"/>
      <c r="FC54" s="29">
        <f t="shared" si="101"/>
        <v>0</v>
      </c>
      <c r="FD54" s="5"/>
      <c r="FE54" s="29"/>
      <c r="FF54" s="5"/>
      <c r="FG54" s="29"/>
      <c r="FH54" s="5"/>
      <c r="FI54" s="29">
        <f t="shared" si="116"/>
        <v>0</v>
      </c>
      <c r="FJ54" s="5"/>
      <c r="FK54" s="29">
        <f t="shared" si="103"/>
        <v>0</v>
      </c>
      <c r="FL54" s="5"/>
      <c r="FM54" s="29">
        <f t="shared" si="104"/>
        <v>0</v>
      </c>
      <c r="FN54" s="5"/>
      <c r="FO54" s="29">
        <f t="shared" si="105"/>
        <v>0</v>
      </c>
      <c r="FP54" s="5"/>
      <c r="FQ54" s="29">
        <f t="shared" si="106"/>
        <v>0</v>
      </c>
      <c r="FR54" s="5"/>
      <c r="FS54" s="29">
        <f t="shared" si="107"/>
        <v>0</v>
      </c>
      <c r="FT54" s="5"/>
      <c r="FU54" s="29">
        <f t="shared" si="108"/>
        <v>0</v>
      </c>
      <c r="FV54" s="5"/>
      <c r="FW54" s="29">
        <f t="shared" si="108"/>
        <v>0</v>
      </c>
      <c r="FX54" s="5"/>
      <c r="FY54" s="29">
        <f t="shared" si="108"/>
        <v>0</v>
      </c>
      <c r="FZ54" s="5"/>
      <c r="GA54" s="29">
        <f t="shared" si="109"/>
        <v>0</v>
      </c>
      <c r="GB54" s="5"/>
      <c r="GC54" s="29">
        <f t="shared" si="110"/>
        <v>0</v>
      </c>
      <c r="GD54" s="5"/>
      <c r="GE54" s="29">
        <f t="shared" si="110"/>
        <v>0</v>
      </c>
      <c r="GF54" s="5"/>
      <c r="GG54" s="29">
        <f t="shared" si="110"/>
        <v>0</v>
      </c>
      <c r="GH54" s="5"/>
      <c r="GI54" s="29">
        <f t="shared" si="111"/>
        <v>0</v>
      </c>
      <c r="GJ54" s="5"/>
      <c r="GK54" s="29">
        <f t="shared" si="112"/>
        <v>0</v>
      </c>
      <c r="GL54" s="5"/>
      <c r="GM54" s="29">
        <f t="shared" si="112"/>
        <v>0</v>
      </c>
      <c r="GN54" s="5"/>
      <c r="GO54" s="29">
        <f t="shared" si="113"/>
        <v>0</v>
      </c>
      <c r="GP54" s="5"/>
      <c r="GQ54" s="29">
        <f t="shared" si="114"/>
        <v>0</v>
      </c>
      <c r="GR54" s="5"/>
      <c r="GS54" s="29">
        <f t="shared" si="115"/>
        <v>0</v>
      </c>
      <c r="GT54" s="5"/>
      <c r="GU54" s="29">
        <f t="shared" si="115"/>
        <v>0</v>
      </c>
    </row>
    <row r="55" spans="1:203">
      <c r="A55" s="38" t="s">
        <v>129</v>
      </c>
      <c r="C55" s="29"/>
      <c r="E55" s="29"/>
      <c r="G55" s="29"/>
      <c r="I55" s="29">
        <v>0</v>
      </c>
      <c r="K55" s="29">
        <v>0</v>
      </c>
      <c r="M55" s="29">
        <v>0</v>
      </c>
      <c r="O55" s="29">
        <v>0</v>
      </c>
      <c r="Q55" s="29">
        <v>0</v>
      </c>
      <c r="S55" s="29">
        <v>0</v>
      </c>
      <c r="U55" s="29">
        <v>0</v>
      </c>
      <c r="W55" s="29">
        <v>0</v>
      </c>
      <c r="Y55" s="29">
        <v>0</v>
      </c>
      <c r="AA55" s="29">
        <v>0</v>
      </c>
      <c r="AC55" s="29">
        <v>0</v>
      </c>
      <c r="AE55" s="29">
        <v>0</v>
      </c>
      <c r="AG55" s="29">
        <v>0</v>
      </c>
      <c r="AI55" s="29">
        <v>0</v>
      </c>
      <c r="AK55" s="29">
        <v>0</v>
      </c>
      <c r="AM55" s="29">
        <v>0</v>
      </c>
      <c r="AO55" s="29">
        <v>0</v>
      </c>
      <c r="AQ55" s="29">
        <v>0</v>
      </c>
      <c r="AS55" s="29">
        <v>0</v>
      </c>
      <c r="AU55" s="29">
        <v>0</v>
      </c>
      <c r="AW55" s="29">
        <v>0</v>
      </c>
      <c r="AY55" s="29">
        <v>0</v>
      </c>
      <c r="BA55" s="29">
        <v>0</v>
      </c>
      <c r="BC55" s="29">
        <v>0</v>
      </c>
      <c r="BE55" s="29">
        <v>0</v>
      </c>
      <c r="BG55" s="29">
        <v>0</v>
      </c>
      <c r="BI55" s="29">
        <v>0</v>
      </c>
      <c r="BK55" s="29">
        <v>0</v>
      </c>
      <c r="BM55" s="29">
        <v>0</v>
      </c>
      <c r="BO55" s="29">
        <v>0</v>
      </c>
      <c r="BQ55" s="29">
        <v>0</v>
      </c>
      <c r="BS55" s="29">
        <v>0</v>
      </c>
      <c r="BU55" s="29">
        <v>0</v>
      </c>
      <c r="BW55" s="29">
        <v>0</v>
      </c>
      <c r="BY55" s="29">
        <v>0</v>
      </c>
      <c r="CA55" s="29">
        <v>0</v>
      </c>
      <c r="CC55" s="29">
        <v>0</v>
      </c>
      <c r="CE55" s="29">
        <v>0</v>
      </c>
      <c r="CG55" s="29">
        <v>0</v>
      </c>
      <c r="CI55" s="29">
        <v>0</v>
      </c>
      <c r="CK55" s="29">
        <v>0</v>
      </c>
      <c r="CM55" s="29">
        <v>0</v>
      </c>
      <c r="CO55" s="29">
        <v>0</v>
      </c>
      <c r="CQ55" s="29">
        <v>0</v>
      </c>
      <c r="CS55" s="29">
        <v>0</v>
      </c>
      <c r="CU55" s="29">
        <v>0</v>
      </c>
      <c r="CW55" s="29">
        <v>0</v>
      </c>
      <c r="CY55" s="29">
        <v>0</v>
      </c>
      <c r="DA55" s="29">
        <v>0</v>
      </c>
      <c r="DC55" s="29"/>
      <c r="DD55" s="5"/>
      <c r="DE55" s="29"/>
      <c r="DF55" s="5"/>
      <c r="DG55" s="29"/>
      <c r="DH55" s="5"/>
      <c r="DI55" s="29">
        <f t="shared" ref="DI55:DI61" si="117">I55</f>
        <v>0</v>
      </c>
      <c r="DJ55" s="5"/>
      <c r="DK55" s="29">
        <f t="shared" ref="DK55:DO61" si="118">K55-M55</f>
        <v>0</v>
      </c>
      <c r="DL55" s="5"/>
      <c r="DM55" s="29">
        <f t="shared" si="118"/>
        <v>0</v>
      </c>
      <c r="DN55" s="5"/>
      <c r="DO55" s="29">
        <f t="shared" si="118"/>
        <v>0</v>
      </c>
      <c r="DP55" s="5"/>
      <c r="DQ55" s="29">
        <f t="shared" ref="DQ55:DQ61" si="119">Q55</f>
        <v>0</v>
      </c>
      <c r="DR55" s="5"/>
      <c r="DS55" s="29">
        <f t="shared" si="91"/>
        <v>0</v>
      </c>
      <c r="DT55" s="5"/>
      <c r="DU55" s="29">
        <f t="shared" si="91"/>
        <v>0</v>
      </c>
      <c r="DV55" s="5"/>
      <c r="DW55" s="29">
        <f t="shared" si="91"/>
        <v>0</v>
      </c>
      <c r="DX55" s="5"/>
      <c r="DY55" s="29">
        <f t="shared" ref="DY55:DY61" si="120">Y55</f>
        <v>0</v>
      </c>
      <c r="DZ55" s="5"/>
      <c r="EA55" s="29">
        <f t="shared" si="93"/>
        <v>0</v>
      </c>
      <c r="EB55" s="5"/>
      <c r="EC55" s="29">
        <f t="shared" si="93"/>
        <v>0</v>
      </c>
      <c r="ED55" s="5"/>
      <c r="EE55" s="29">
        <f t="shared" si="93"/>
        <v>0</v>
      </c>
      <c r="EF55" s="5"/>
      <c r="EG55" s="29">
        <f t="shared" ref="EG55:EG61" si="121">AG55</f>
        <v>0</v>
      </c>
      <c r="EH55" s="5"/>
      <c r="EI55" s="29">
        <f t="shared" ref="EI55:EM61" si="122">AI55-AK55</f>
        <v>0</v>
      </c>
      <c r="EJ55" s="5"/>
      <c r="EK55" s="29">
        <f t="shared" si="122"/>
        <v>0</v>
      </c>
      <c r="EL55" s="5"/>
      <c r="EM55" s="29">
        <f t="shared" si="122"/>
        <v>0</v>
      </c>
      <c r="EN55" s="5"/>
      <c r="EO55" s="29">
        <f t="shared" si="96"/>
        <v>0</v>
      </c>
      <c r="EP55" s="5"/>
      <c r="EQ55" s="29">
        <f t="shared" si="97"/>
        <v>0</v>
      </c>
      <c r="ER55" s="5"/>
      <c r="ES55" s="29">
        <f t="shared" si="98"/>
        <v>0</v>
      </c>
      <c r="ET55" s="5"/>
      <c r="EU55" s="29">
        <f t="shared" si="99"/>
        <v>0</v>
      </c>
      <c r="EV55" s="5"/>
      <c r="EW55" s="29">
        <f t="shared" ref="EW55:EW62" si="123">AW55</f>
        <v>0</v>
      </c>
      <c r="EX55" s="5"/>
      <c r="EY55" s="29">
        <f t="shared" si="101"/>
        <v>0</v>
      </c>
      <c r="EZ55" s="5"/>
      <c r="FA55" s="29">
        <f t="shared" si="101"/>
        <v>0</v>
      </c>
      <c r="FB55" s="5"/>
      <c r="FC55" s="29">
        <f t="shared" si="101"/>
        <v>0</v>
      </c>
      <c r="FD55" s="5"/>
      <c r="FE55" s="29">
        <f t="shared" ref="FE55:FE62" si="124">BE55</f>
        <v>0</v>
      </c>
      <c r="FF55" s="5"/>
      <c r="FG55" s="29">
        <v>0</v>
      </c>
      <c r="FH55" s="5"/>
      <c r="FI55" s="29">
        <f t="shared" si="116"/>
        <v>0</v>
      </c>
      <c r="FJ55" s="5"/>
      <c r="FK55" s="29">
        <f t="shared" si="103"/>
        <v>0</v>
      </c>
      <c r="FL55" s="5"/>
      <c r="FM55" s="29">
        <f t="shared" si="104"/>
        <v>0</v>
      </c>
      <c r="FN55" s="5"/>
      <c r="FO55" s="29">
        <f t="shared" si="105"/>
        <v>0</v>
      </c>
      <c r="FP55" s="5"/>
      <c r="FQ55" s="29">
        <f t="shared" si="106"/>
        <v>0</v>
      </c>
      <c r="FR55" s="5"/>
      <c r="FS55" s="29">
        <f t="shared" si="107"/>
        <v>0</v>
      </c>
      <c r="FT55" s="5"/>
      <c r="FU55" s="29">
        <f t="shared" si="108"/>
        <v>0</v>
      </c>
      <c r="FV55" s="5"/>
      <c r="FW55" s="29">
        <f t="shared" si="108"/>
        <v>0</v>
      </c>
      <c r="FX55" s="5"/>
      <c r="FY55" s="29">
        <f t="shared" si="108"/>
        <v>0</v>
      </c>
      <c r="FZ55" s="5"/>
      <c r="GA55" s="29">
        <f t="shared" si="109"/>
        <v>0</v>
      </c>
      <c r="GB55" s="5"/>
      <c r="GC55" s="29">
        <f t="shared" si="110"/>
        <v>0</v>
      </c>
      <c r="GD55" s="5"/>
      <c r="GE55" s="29">
        <f t="shared" si="110"/>
        <v>0</v>
      </c>
      <c r="GF55" s="5"/>
      <c r="GG55" s="29">
        <f t="shared" si="110"/>
        <v>0</v>
      </c>
      <c r="GH55" s="5"/>
      <c r="GI55" s="29">
        <f t="shared" si="111"/>
        <v>0</v>
      </c>
      <c r="GJ55" s="5"/>
      <c r="GK55" s="29">
        <f t="shared" si="112"/>
        <v>0</v>
      </c>
      <c r="GL55" s="5"/>
      <c r="GM55" s="29">
        <f t="shared" si="112"/>
        <v>0</v>
      </c>
      <c r="GN55" s="5"/>
      <c r="GO55" s="29">
        <f t="shared" si="113"/>
        <v>0</v>
      </c>
      <c r="GP55" s="5"/>
      <c r="GQ55" s="29">
        <f t="shared" si="114"/>
        <v>0</v>
      </c>
      <c r="GR55" s="5"/>
      <c r="GS55" s="29">
        <f t="shared" si="115"/>
        <v>0</v>
      </c>
      <c r="GT55" s="5"/>
      <c r="GU55" s="29">
        <f t="shared" si="115"/>
        <v>0</v>
      </c>
    </row>
    <row r="56" spans="1:203">
      <c r="A56" s="38" t="s">
        <v>130</v>
      </c>
      <c r="C56" s="29"/>
      <c r="E56" s="29"/>
      <c r="G56" s="29"/>
      <c r="I56" s="29">
        <v>0</v>
      </c>
      <c r="K56" s="29">
        <v>-25843260.870000001</v>
      </c>
      <c r="M56" s="29">
        <v>-25843260.866208337</v>
      </c>
      <c r="O56" s="29">
        <v>-25843260.870000001</v>
      </c>
      <c r="Q56" s="29">
        <v>0</v>
      </c>
      <c r="S56" s="29">
        <v>-5117477.41</v>
      </c>
      <c r="U56" s="29">
        <v>-5117477.4000000004</v>
      </c>
      <c r="W56" s="29">
        <v>-5117477.4000000004</v>
      </c>
      <c r="Y56" s="29">
        <v>0</v>
      </c>
      <c r="AA56" s="29">
        <v>-3838108.05</v>
      </c>
      <c r="AC56" s="29">
        <v>-3838108.0509416596</v>
      </c>
      <c r="AE56" s="29">
        <v>-3838108.0500000138</v>
      </c>
      <c r="AG56" s="29">
        <v>0</v>
      </c>
      <c r="AI56" s="29">
        <v>-3838108.05</v>
      </c>
      <c r="AK56" s="29">
        <v>-3838108.0462085158</v>
      </c>
      <c r="AM56" s="29">
        <v>-3838108.0478096623</v>
      </c>
      <c r="AO56" s="29">
        <v>0</v>
      </c>
      <c r="AQ56" s="29">
        <v>-3070486.44</v>
      </c>
      <c r="AS56" s="29">
        <v>-3070486.4367550164</v>
      </c>
      <c r="AU56" s="29">
        <v>-3070486.4367550146</v>
      </c>
      <c r="AW56" s="29">
        <v>0</v>
      </c>
      <c r="AY56" s="29">
        <v>0</v>
      </c>
      <c r="BA56" s="29">
        <v>0</v>
      </c>
      <c r="BC56" s="29">
        <v>0</v>
      </c>
      <c r="BE56" s="29">
        <v>0</v>
      </c>
      <c r="BG56" s="29">
        <v>0</v>
      </c>
      <c r="BI56" s="29">
        <v>0</v>
      </c>
      <c r="BK56" s="29">
        <v>0</v>
      </c>
      <c r="BM56" s="29">
        <v>0</v>
      </c>
      <c r="BO56" s="29">
        <v>0</v>
      </c>
      <c r="BQ56" s="29">
        <v>0</v>
      </c>
      <c r="BS56" s="29">
        <v>0</v>
      </c>
      <c r="BU56" s="29">
        <v>0</v>
      </c>
      <c r="BW56" s="29">
        <v>0</v>
      </c>
      <c r="BY56" s="29">
        <v>0</v>
      </c>
      <c r="CA56" s="29">
        <v>0</v>
      </c>
      <c r="CC56" s="29">
        <v>0</v>
      </c>
      <c r="CE56" s="29">
        <v>0</v>
      </c>
      <c r="CG56" s="29">
        <v>0</v>
      </c>
      <c r="CI56" s="29">
        <v>0</v>
      </c>
      <c r="CK56" s="29">
        <v>0</v>
      </c>
      <c r="CM56" s="29">
        <v>0</v>
      </c>
      <c r="CO56" s="29">
        <v>0</v>
      </c>
      <c r="CQ56" s="29">
        <v>0</v>
      </c>
      <c r="CS56" s="29">
        <v>0</v>
      </c>
      <c r="CU56" s="29">
        <v>0</v>
      </c>
      <c r="CW56" s="29">
        <v>0</v>
      </c>
      <c r="CY56" s="29">
        <v>0</v>
      </c>
      <c r="DA56" s="29">
        <v>0</v>
      </c>
      <c r="DC56" s="29"/>
      <c r="DD56" s="5"/>
      <c r="DE56" s="29"/>
      <c r="DF56" s="5"/>
      <c r="DG56" s="29"/>
      <c r="DH56" s="5"/>
      <c r="DI56" s="29">
        <f t="shared" si="117"/>
        <v>0</v>
      </c>
      <c r="DJ56" s="5"/>
      <c r="DK56" s="29">
        <f t="shared" si="118"/>
        <v>-3.79166379570961E-3</v>
      </c>
      <c r="DL56" s="5"/>
      <c r="DM56" s="29">
        <f t="shared" si="118"/>
        <v>3.79166379570961E-3</v>
      </c>
      <c r="DN56" s="5"/>
      <c r="DO56" s="29">
        <f t="shared" si="118"/>
        <v>-25843260.870000001</v>
      </c>
      <c r="DP56" s="5"/>
      <c r="DQ56" s="29">
        <f t="shared" si="119"/>
        <v>0</v>
      </c>
      <c r="DR56" s="5"/>
      <c r="DS56" s="29">
        <f t="shared" si="91"/>
        <v>-9.9999997764825821E-3</v>
      </c>
      <c r="DT56" s="5"/>
      <c r="DU56" s="29">
        <f t="shared" si="91"/>
        <v>0</v>
      </c>
      <c r="DV56" s="5"/>
      <c r="DW56" s="29">
        <f t="shared" si="91"/>
        <v>-5117477.4000000004</v>
      </c>
      <c r="DX56" s="5"/>
      <c r="DY56" s="29">
        <f t="shared" si="120"/>
        <v>0</v>
      </c>
      <c r="DZ56" s="5"/>
      <c r="EA56" s="29">
        <f t="shared" si="93"/>
        <v>9.4165978953242302E-4</v>
      </c>
      <c r="EB56" s="5"/>
      <c r="EC56" s="29">
        <f t="shared" si="93"/>
        <v>-9.4164581969380379E-4</v>
      </c>
      <c r="ED56" s="5"/>
      <c r="EE56" s="29">
        <f t="shared" si="93"/>
        <v>-3838108.0500000138</v>
      </c>
      <c r="EF56" s="5"/>
      <c r="EG56" s="29">
        <f t="shared" si="121"/>
        <v>0</v>
      </c>
      <c r="EH56" s="5"/>
      <c r="EI56" s="29">
        <f t="shared" si="122"/>
        <v>-3.7914840504527092E-3</v>
      </c>
      <c r="EJ56" s="5"/>
      <c r="EK56" s="29">
        <f t="shared" si="122"/>
        <v>1.6011465340852737E-3</v>
      </c>
      <c r="EL56" s="5"/>
      <c r="EM56" s="29">
        <f t="shared" si="122"/>
        <v>-3838108.0478096623</v>
      </c>
      <c r="EN56" s="5"/>
      <c r="EO56" s="29">
        <f t="shared" si="96"/>
        <v>0</v>
      </c>
      <c r="EP56" s="5"/>
      <c r="EQ56" s="29">
        <f t="shared" si="97"/>
        <v>-3.2449834980070591E-3</v>
      </c>
      <c r="ER56" s="5"/>
      <c r="ES56" s="29">
        <f t="shared" si="98"/>
        <v>0</v>
      </c>
      <c r="ET56" s="5"/>
      <c r="EU56" s="29">
        <f t="shared" si="99"/>
        <v>-3070486.4367550146</v>
      </c>
      <c r="EV56" s="5"/>
      <c r="EW56" s="29">
        <f t="shared" si="123"/>
        <v>0</v>
      </c>
      <c r="EX56" s="5"/>
      <c r="EY56" s="29">
        <f t="shared" si="101"/>
        <v>0</v>
      </c>
      <c r="EZ56" s="5"/>
      <c r="FA56" s="29">
        <f t="shared" si="101"/>
        <v>0</v>
      </c>
      <c r="FB56" s="5"/>
      <c r="FC56" s="29">
        <f t="shared" si="101"/>
        <v>0</v>
      </c>
      <c r="FD56" s="5"/>
      <c r="FE56" s="29">
        <f t="shared" si="124"/>
        <v>0</v>
      </c>
      <c r="FF56" s="5"/>
      <c r="FG56" s="29">
        <v>0</v>
      </c>
      <c r="FH56" s="5"/>
      <c r="FI56" s="29">
        <f t="shared" si="116"/>
        <v>0</v>
      </c>
      <c r="FJ56" s="5"/>
      <c r="FK56" s="29">
        <f t="shared" si="103"/>
        <v>0</v>
      </c>
      <c r="FL56" s="5"/>
      <c r="FM56" s="29">
        <f t="shared" si="104"/>
        <v>0</v>
      </c>
      <c r="FN56" s="5"/>
      <c r="FO56" s="29">
        <f t="shared" si="105"/>
        <v>0</v>
      </c>
      <c r="FP56" s="5"/>
      <c r="FQ56" s="29">
        <f t="shared" si="106"/>
        <v>0</v>
      </c>
      <c r="FR56" s="5"/>
      <c r="FS56" s="29">
        <f t="shared" si="107"/>
        <v>0</v>
      </c>
      <c r="FT56" s="5"/>
      <c r="FU56" s="29">
        <f t="shared" si="108"/>
        <v>0</v>
      </c>
      <c r="FV56" s="5"/>
      <c r="FW56" s="29">
        <f t="shared" si="108"/>
        <v>0</v>
      </c>
      <c r="FX56" s="5"/>
      <c r="FY56" s="29">
        <f t="shared" si="108"/>
        <v>0</v>
      </c>
      <c r="FZ56" s="5"/>
      <c r="GA56" s="29">
        <f t="shared" si="109"/>
        <v>0</v>
      </c>
      <c r="GB56" s="5"/>
      <c r="GC56" s="29">
        <f t="shared" si="110"/>
        <v>0</v>
      </c>
      <c r="GD56" s="5"/>
      <c r="GE56" s="29">
        <f t="shared" si="110"/>
        <v>0</v>
      </c>
      <c r="GF56" s="5"/>
      <c r="GG56" s="29">
        <f t="shared" si="110"/>
        <v>0</v>
      </c>
      <c r="GH56" s="5"/>
      <c r="GI56" s="29">
        <f t="shared" si="111"/>
        <v>0</v>
      </c>
      <c r="GJ56" s="5"/>
      <c r="GK56" s="29">
        <f t="shared" si="112"/>
        <v>0</v>
      </c>
      <c r="GL56" s="5"/>
      <c r="GM56" s="29">
        <f t="shared" si="112"/>
        <v>0</v>
      </c>
      <c r="GN56" s="5"/>
      <c r="GO56" s="29">
        <f t="shared" si="113"/>
        <v>0</v>
      </c>
      <c r="GP56" s="5"/>
      <c r="GQ56" s="29">
        <f t="shared" si="114"/>
        <v>0</v>
      </c>
      <c r="GR56" s="5"/>
      <c r="GS56" s="29">
        <f t="shared" si="115"/>
        <v>0</v>
      </c>
      <c r="GT56" s="5"/>
      <c r="GU56" s="29">
        <f t="shared" si="115"/>
        <v>0</v>
      </c>
    </row>
    <row r="57" spans="1:203">
      <c r="A57" s="38" t="s">
        <v>131</v>
      </c>
      <c r="C57" s="29"/>
      <c r="E57" s="29"/>
      <c r="G57" s="29"/>
      <c r="I57" s="29">
        <v>0</v>
      </c>
      <c r="K57" s="29">
        <v>-1300000</v>
      </c>
      <c r="M57" s="29">
        <v>-1300000</v>
      </c>
      <c r="O57" s="29">
        <v>-1300000</v>
      </c>
      <c r="Q57" s="29">
        <v>-650000</v>
      </c>
      <c r="S57" s="29">
        <v>-20570035.719999999</v>
      </c>
      <c r="U57" s="29">
        <v>-19920035.719999999</v>
      </c>
      <c r="W57" s="29">
        <v>-19205792.71802</v>
      </c>
      <c r="Y57" s="29">
        <v>-18491578.52</v>
      </c>
      <c r="AA57" s="29">
        <v>-8681354.7300000004</v>
      </c>
      <c r="AC57" s="29">
        <v>-7967103.7300000004</v>
      </c>
      <c r="AE57" s="29">
        <v>-1428502</v>
      </c>
      <c r="AG57" s="29">
        <v>-714251.10000000009</v>
      </c>
      <c r="AI57" s="29">
        <v>-2664251</v>
      </c>
      <c r="AK57" s="29">
        <v>-1950000</v>
      </c>
      <c r="AM57" s="29">
        <v>-1300000</v>
      </c>
      <c r="AO57" s="29">
        <v>-650000.0002084896</v>
      </c>
      <c r="AQ57" s="29">
        <v>-1949999.9968151562</v>
      </c>
      <c r="AS57" s="29">
        <v>-1950000</v>
      </c>
      <c r="AU57" s="29">
        <v>-650000</v>
      </c>
      <c r="AW57" s="29">
        <v>0</v>
      </c>
      <c r="AY57" s="29">
        <v>-3618970.4168151561</v>
      </c>
      <c r="BA57" s="29">
        <v>-3618970.42</v>
      </c>
      <c r="BC57" s="29">
        <v>-2318970.42</v>
      </c>
      <c r="BE57" s="29">
        <v>-1115410.5991999938</v>
      </c>
      <c r="BG57" s="29">
        <v>-8185754.4266849952</v>
      </c>
      <c r="BI57" s="29">
        <v>-5559480.3799999999</v>
      </c>
      <c r="BK57" s="29">
        <v>-5298081.78</v>
      </c>
      <c r="BM57" s="29">
        <v>-4766888.16</v>
      </c>
      <c r="BO57" s="29">
        <v>-877593.21</v>
      </c>
      <c r="BQ57" s="29">
        <v>-546059.44999999995</v>
      </c>
      <c r="BS57" s="29">
        <v>-217787.22</v>
      </c>
      <c r="BU57" s="29">
        <v>-2966674.57</v>
      </c>
      <c r="BW57" s="29">
        <v>-2346008.378</v>
      </c>
      <c r="BY57" s="29">
        <v>-1460172.54</v>
      </c>
      <c r="CA57" s="29">
        <v>-579409.1</v>
      </c>
      <c r="CC57" s="29">
        <v>-3379915.05</v>
      </c>
      <c r="CE57" s="29">
        <v>-2520523.58</v>
      </c>
      <c r="CG57" s="29">
        <v>-1388973.99</v>
      </c>
      <c r="CI57" s="29">
        <v>-518578.18</v>
      </c>
      <c r="CK57" s="29">
        <v>-2900609.88</v>
      </c>
      <c r="CM57" s="29">
        <v>-1646961.4</v>
      </c>
      <c r="CO57" s="29">
        <v>-1022013.08</v>
      </c>
      <c r="CQ57" s="29">
        <v>-331760.45</v>
      </c>
      <c r="CS57" s="29">
        <v>-2483591.1</v>
      </c>
      <c r="CU57" s="29">
        <v>-1685018.47</v>
      </c>
      <c r="CW57" s="29">
        <v>-1352573.03</v>
      </c>
      <c r="CY57" s="29">
        <v>-1078398.6900000002</v>
      </c>
      <c r="DA57" s="29">
        <v>-408931.89</v>
      </c>
      <c r="DC57" s="29"/>
      <c r="DD57" s="5"/>
      <c r="DE57" s="29"/>
      <c r="DF57" s="5"/>
      <c r="DG57" s="29"/>
      <c r="DH57" s="5"/>
      <c r="DI57" s="29">
        <f t="shared" si="117"/>
        <v>0</v>
      </c>
      <c r="DJ57" s="5"/>
      <c r="DK57" s="29">
        <f t="shared" si="118"/>
        <v>0</v>
      </c>
      <c r="DL57" s="5"/>
      <c r="DM57" s="29">
        <f t="shared" si="118"/>
        <v>0</v>
      </c>
      <c r="DN57" s="5"/>
      <c r="DO57" s="29">
        <f t="shared" si="118"/>
        <v>-650000</v>
      </c>
      <c r="DP57" s="5"/>
      <c r="DQ57" s="29">
        <f t="shared" si="119"/>
        <v>-650000</v>
      </c>
      <c r="DR57" s="5"/>
      <c r="DS57" s="29">
        <f t="shared" si="91"/>
        <v>-650000</v>
      </c>
      <c r="DT57" s="5"/>
      <c r="DU57" s="29">
        <f t="shared" si="91"/>
        <v>-714243.00197999924</v>
      </c>
      <c r="DV57" s="5"/>
      <c r="DW57" s="29">
        <f t="shared" si="91"/>
        <v>-714214.19802000001</v>
      </c>
      <c r="DX57" s="5"/>
      <c r="DY57" s="29">
        <f t="shared" si="120"/>
        <v>-18491578.52</v>
      </c>
      <c r="DZ57" s="5"/>
      <c r="EA57" s="29">
        <f t="shared" si="93"/>
        <v>-714251</v>
      </c>
      <c r="EB57" s="5"/>
      <c r="EC57" s="29">
        <f t="shared" si="93"/>
        <v>-6538601.7300000004</v>
      </c>
      <c r="ED57" s="5"/>
      <c r="EE57" s="29">
        <f t="shared" si="93"/>
        <v>-714250.89999999991</v>
      </c>
      <c r="EF57" s="5"/>
      <c r="EG57" s="29">
        <f t="shared" si="121"/>
        <v>-714251.10000000009</v>
      </c>
      <c r="EH57" s="5"/>
      <c r="EI57" s="29">
        <f t="shared" si="122"/>
        <v>-714251</v>
      </c>
      <c r="EJ57" s="5"/>
      <c r="EK57" s="29">
        <f t="shared" si="122"/>
        <v>-650000</v>
      </c>
      <c r="EL57" s="5"/>
      <c r="EM57" s="29">
        <f t="shared" si="122"/>
        <v>-649999.9997915104</v>
      </c>
      <c r="EN57" s="5"/>
      <c r="EO57" s="29">
        <f t="shared" si="96"/>
        <v>-650000.0002084896</v>
      </c>
      <c r="EP57" s="5"/>
      <c r="EQ57" s="29">
        <f t="shared" si="97"/>
        <v>3.1848438084125519E-3</v>
      </c>
      <c r="ER57" s="5"/>
      <c r="ES57" s="29">
        <f t="shared" si="98"/>
        <v>-1300000</v>
      </c>
      <c r="ET57" s="5"/>
      <c r="EU57" s="29">
        <f t="shared" si="99"/>
        <v>-650000</v>
      </c>
      <c r="EV57" s="5"/>
      <c r="EW57" s="29">
        <f t="shared" si="123"/>
        <v>0</v>
      </c>
      <c r="EX57" s="5"/>
      <c r="EY57" s="29">
        <f t="shared" si="101"/>
        <v>3.1848438084125519E-3</v>
      </c>
      <c r="EZ57" s="5"/>
      <c r="FA57" s="29">
        <f t="shared" si="101"/>
        <v>-1300000</v>
      </c>
      <c r="FB57" s="5"/>
      <c r="FC57" s="29">
        <f t="shared" si="101"/>
        <v>-1203559.8208000062</v>
      </c>
      <c r="FD57" s="5"/>
      <c r="FE57" s="29">
        <f t="shared" si="124"/>
        <v>-1115410.5991999938</v>
      </c>
      <c r="FF57" s="5"/>
      <c r="FG57" s="29">
        <v>-2626269.9466849952</v>
      </c>
      <c r="FH57" s="5"/>
      <c r="FI57" s="29">
        <f t="shared" si="116"/>
        <v>-261398.59999999963</v>
      </c>
      <c r="FJ57" s="5"/>
      <c r="FK57" s="29">
        <f t="shared" si="103"/>
        <v>-531193.62000000011</v>
      </c>
      <c r="FL57" s="5"/>
      <c r="FM57" s="29">
        <f t="shared" si="104"/>
        <v>-3889294.95</v>
      </c>
      <c r="FN57" s="5"/>
      <c r="FO57" s="29">
        <f t="shared" si="105"/>
        <v>-331533.76</v>
      </c>
      <c r="FP57" s="5"/>
      <c r="FQ57" s="29">
        <f t="shared" si="106"/>
        <v>-328272.23</v>
      </c>
      <c r="FR57" s="5"/>
      <c r="FS57" s="29">
        <f t="shared" si="107"/>
        <v>-217787.22</v>
      </c>
      <c r="FT57" s="5"/>
      <c r="FU57" s="29">
        <f t="shared" si="108"/>
        <v>-620666.19199999981</v>
      </c>
      <c r="FV57" s="5"/>
      <c r="FW57" s="29">
        <f t="shared" si="108"/>
        <v>-885835.83799999999</v>
      </c>
      <c r="FX57" s="5"/>
      <c r="FY57" s="29">
        <f t="shared" si="108"/>
        <v>-880763.44000000006</v>
      </c>
      <c r="FZ57" s="5"/>
      <c r="GA57" s="29">
        <f t="shared" si="109"/>
        <v>-579409.1</v>
      </c>
      <c r="GB57" s="5"/>
      <c r="GC57" s="29">
        <f t="shared" si="110"/>
        <v>-859391.46999999974</v>
      </c>
      <c r="GD57" s="5"/>
      <c r="GE57" s="29">
        <f t="shared" si="110"/>
        <v>-1131549.5900000001</v>
      </c>
      <c r="GF57" s="5"/>
      <c r="GG57" s="29">
        <f t="shared" si="110"/>
        <v>-870395.81</v>
      </c>
      <c r="GH57" s="5"/>
      <c r="GI57" s="29">
        <f t="shared" si="111"/>
        <v>-518578.18</v>
      </c>
      <c r="GJ57" s="5"/>
      <c r="GK57" s="29">
        <f t="shared" si="112"/>
        <v>-1253648.48</v>
      </c>
      <c r="GL57" s="5"/>
      <c r="GM57" s="29">
        <f t="shared" si="112"/>
        <v>-624948.31999999995</v>
      </c>
      <c r="GN57" s="5"/>
      <c r="GO57" s="29">
        <f t="shared" si="113"/>
        <v>-690252.62999999989</v>
      </c>
      <c r="GP57" s="5"/>
      <c r="GQ57" s="29">
        <f t="shared" si="114"/>
        <v>-331760.45</v>
      </c>
      <c r="GR57" s="5"/>
      <c r="GS57" s="29">
        <f t="shared" si="115"/>
        <v>-798572.63000000012</v>
      </c>
      <c r="GT57" s="5"/>
      <c r="GU57" s="29">
        <f t="shared" si="115"/>
        <v>-332445.43999999994</v>
      </c>
    </row>
    <row r="58" spans="1:203">
      <c r="A58" s="38" t="s">
        <v>132</v>
      </c>
      <c r="C58" s="29"/>
      <c r="E58" s="29"/>
      <c r="G58" s="29"/>
      <c r="I58" s="29">
        <v>0</v>
      </c>
      <c r="K58" s="29">
        <v>0</v>
      </c>
      <c r="M58" s="29">
        <v>0</v>
      </c>
      <c r="O58" s="29">
        <v>0</v>
      </c>
      <c r="Q58" s="29">
        <v>0</v>
      </c>
      <c r="S58" s="29">
        <v>0</v>
      </c>
      <c r="U58" s="29">
        <v>0</v>
      </c>
      <c r="W58" s="29">
        <v>0</v>
      </c>
      <c r="Y58" s="29">
        <v>0</v>
      </c>
      <c r="AA58" s="29">
        <v>0</v>
      </c>
      <c r="AC58" s="29">
        <v>0</v>
      </c>
      <c r="AE58" s="29">
        <v>0</v>
      </c>
      <c r="AG58" s="29">
        <v>0</v>
      </c>
      <c r="AI58" s="29">
        <v>0</v>
      </c>
      <c r="AK58" s="29">
        <v>0</v>
      </c>
      <c r="AM58" s="29">
        <v>0</v>
      </c>
      <c r="AO58" s="29">
        <v>0</v>
      </c>
      <c r="AQ58" s="29">
        <v>0</v>
      </c>
      <c r="AS58" s="29">
        <v>0</v>
      </c>
      <c r="AU58" s="29">
        <v>0</v>
      </c>
      <c r="AW58" s="29">
        <v>0</v>
      </c>
      <c r="AY58" s="29">
        <v>0</v>
      </c>
      <c r="BA58" s="29">
        <v>0</v>
      </c>
      <c r="BC58" s="29">
        <v>0</v>
      </c>
      <c r="BE58" s="29">
        <v>0</v>
      </c>
      <c r="BG58" s="29">
        <v>0</v>
      </c>
      <c r="BI58" s="29">
        <v>0</v>
      </c>
      <c r="BK58" s="29">
        <v>0</v>
      </c>
      <c r="BM58" s="29">
        <v>0</v>
      </c>
      <c r="BO58" s="29">
        <v>0</v>
      </c>
      <c r="BQ58" s="29">
        <v>0</v>
      </c>
      <c r="BS58" s="29">
        <v>0</v>
      </c>
      <c r="BU58" s="29">
        <v>0</v>
      </c>
      <c r="BW58" s="29">
        <v>0</v>
      </c>
      <c r="BY58" s="29">
        <v>0</v>
      </c>
      <c r="CA58" s="29">
        <v>0</v>
      </c>
      <c r="CC58" s="29">
        <v>0</v>
      </c>
      <c r="CE58" s="29">
        <v>0</v>
      </c>
      <c r="CG58" s="29">
        <v>0</v>
      </c>
      <c r="CI58" s="29">
        <v>0</v>
      </c>
      <c r="CK58" s="29">
        <v>0</v>
      </c>
      <c r="CM58" s="29">
        <v>0</v>
      </c>
      <c r="CO58" s="29">
        <v>0</v>
      </c>
      <c r="CQ58" s="29">
        <v>0</v>
      </c>
      <c r="CS58" s="29">
        <v>0</v>
      </c>
      <c r="CU58" s="29">
        <v>0</v>
      </c>
      <c r="CW58" s="29">
        <v>0</v>
      </c>
      <c r="CY58" s="29">
        <v>0</v>
      </c>
      <c r="DA58" s="29">
        <v>0</v>
      </c>
      <c r="DC58" s="29"/>
      <c r="DD58" s="5"/>
      <c r="DE58" s="29"/>
      <c r="DF58" s="5"/>
      <c r="DG58" s="29"/>
      <c r="DH58" s="5"/>
      <c r="DI58" s="29">
        <f t="shared" si="117"/>
        <v>0</v>
      </c>
      <c r="DJ58" s="5"/>
      <c r="DK58" s="29">
        <f t="shared" si="118"/>
        <v>0</v>
      </c>
      <c r="DL58" s="5"/>
      <c r="DM58" s="29">
        <f t="shared" si="118"/>
        <v>0</v>
      </c>
      <c r="DN58" s="5"/>
      <c r="DO58" s="29">
        <f t="shared" si="118"/>
        <v>0</v>
      </c>
      <c r="DP58" s="5"/>
      <c r="DQ58" s="29">
        <f t="shared" si="119"/>
        <v>0</v>
      </c>
      <c r="DR58" s="5"/>
      <c r="DS58" s="29">
        <f t="shared" si="91"/>
        <v>0</v>
      </c>
      <c r="DT58" s="5"/>
      <c r="DU58" s="29">
        <f t="shared" si="91"/>
        <v>0</v>
      </c>
      <c r="DV58" s="5"/>
      <c r="DW58" s="29">
        <f t="shared" si="91"/>
        <v>0</v>
      </c>
      <c r="DX58" s="5"/>
      <c r="DY58" s="29">
        <f t="shared" si="120"/>
        <v>0</v>
      </c>
      <c r="DZ58" s="5"/>
      <c r="EA58" s="29">
        <f t="shared" si="93"/>
        <v>0</v>
      </c>
      <c r="EB58" s="5"/>
      <c r="EC58" s="29">
        <f t="shared" si="93"/>
        <v>0</v>
      </c>
      <c r="ED58" s="5"/>
      <c r="EE58" s="29">
        <f t="shared" si="93"/>
        <v>0</v>
      </c>
      <c r="EF58" s="5"/>
      <c r="EG58" s="29">
        <f t="shared" si="121"/>
        <v>0</v>
      </c>
      <c r="EH58" s="5"/>
      <c r="EI58" s="29">
        <f t="shared" si="122"/>
        <v>0</v>
      </c>
      <c r="EJ58" s="5"/>
      <c r="EK58" s="29">
        <f t="shared" si="122"/>
        <v>0</v>
      </c>
      <c r="EL58" s="5"/>
      <c r="EM58" s="29">
        <f t="shared" si="122"/>
        <v>0</v>
      </c>
      <c r="EN58" s="5"/>
      <c r="EO58" s="29">
        <f t="shared" si="96"/>
        <v>0</v>
      </c>
      <c r="EP58" s="5"/>
      <c r="EQ58" s="29">
        <f t="shared" si="97"/>
        <v>0</v>
      </c>
      <c r="ER58" s="5"/>
      <c r="ES58" s="29">
        <f t="shared" si="98"/>
        <v>0</v>
      </c>
      <c r="ET58" s="5"/>
      <c r="EU58" s="29">
        <f t="shared" si="99"/>
        <v>0</v>
      </c>
      <c r="EV58" s="5"/>
      <c r="EW58" s="29">
        <f t="shared" si="123"/>
        <v>0</v>
      </c>
      <c r="EX58" s="5"/>
      <c r="EY58" s="29">
        <f t="shared" si="101"/>
        <v>0</v>
      </c>
      <c r="EZ58" s="5"/>
      <c r="FA58" s="29">
        <f t="shared" si="101"/>
        <v>0</v>
      </c>
      <c r="FB58" s="5"/>
      <c r="FC58" s="29">
        <f t="shared" si="101"/>
        <v>0</v>
      </c>
      <c r="FD58" s="5"/>
      <c r="FE58" s="29">
        <f t="shared" si="124"/>
        <v>0</v>
      </c>
      <c r="FF58" s="5"/>
      <c r="FG58" s="29">
        <v>0</v>
      </c>
      <c r="FH58" s="5"/>
      <c r="FI58" s="29">
        <f t="shared" si="116"/>
        <v>0</v>
      </c>
      <c r="FJ58" s="5"/>
      <c r="FK58" s="29">
        <f t="shared" si="103"/>
        <v>0</v>
      </c>
      <c r="FL58" s="5"/>
      <c r="FM58" s="29">
        <f t="shared" si="104"/>
        <v>0</v>
      </c>
      <c r="FN58" s="5"/>
      <c r="FO58" s="29">
        <f t="shared" si="105"/>
        <v>0</v>
      </c>
      <c r="FP58" s="5"/>
      <c r="FQ58" s="29">
        <f t="shared" si="106"/>
        <v>0</v>
      </c>
      <c r="FR58" s="5"/>
      <c r="FS58" s="29">
        <f t="shared" si="107"/>
        <v>0</v>
      </c>
      <c r="FT58" s="5"/>
      <c r="FU58" s="29">
        <f t="shared" si="108"/>
        <v>0</v>
      </c>
      <c r="FV58" s="5"/>
      <c r="FW58" s="29">
        <f t="shared" si="108"/>
        <v>0</v>
      </c>
      <c r="FX58" s="5"/>
      <c r="FY58" s="29">
        <f t="shared" si="108"/>
        <v>0</v>
      </c>
      <c r="FZ58" s="5"/>
      <c r="GA58" s="29">
        <f t="shared" si="109"/>
        <v>0</v>
      </c>
      <c r="GB58" s="5"/>
      <c r="GC58" s="29">
        <f t="shared" si="110"/>
        <v>0</v>
      </c>
      <c r="GD58" s="5"/>
      <c r="GE58" s="29">
        <f t="shared" si="110"/>
        <v>0</v>
      </c>
      <c r="GF58" s="5"/>
      <c r="GG58" s="29">
        <f t="shared" si="110"/>
        <v>0</v>
      </c>
      <c r="GH58" s="5"/>
      <c r="GI58" s="29">
        <f t="shared" si="111"/>
        <v>0</v>
      </c>
      <c r="GJ58" s="5"/>
      <c r="GK58" s="29">
        <f t="shared" si="112"/>
        <v>0</v>
      </c>
      <c r="GL58" s="5"/>
      <c r="GM58" s="29">
        <f t="shared" si="112"/>
        <v>0</v>
      </c>
      <c r="GN58" s="5"/>
      <c r="GO58" s="29">
        <f t="shared" si="113"/>
        <v>0</v>
      </c>
      <c r="GP58" s="5"/>
      <c r="GQ58" s="29">
        <f t="shared" si="114"/>
        <v>0</v>
      </c>
      <c r="GR58" s="5"/>
      <c r="GS58" s="29">
        <f t="shared" si="115"/>
        <v>0</v>
      </c>
      <c r="GT58" s="5"/>
      <c r="GU58" s="29">
        <f t="shared" si="115"/>
        <v>0</v>
      </c>
    </row>
    <row r="59" spans="1:203">
      <c r="A59" s="38" t="s">
        <v>283</v>
      </c>
      <c r="C59" s="29"/>
      <c r="E59" s="29"/>
      <c r="G59" s="29"/>
      <c r="I59" s="29">
        <v>-1384969.0646311068</v>
      </c>
      <c r="K59" s="29">
        <v>-4591487.74</v>
      </c>
      <c r="M59" s="29">
        <v>-3233429.0308556557</v>
      </c>
      <c r="O59" s="29">
        <v>-2130186.9227999998</v>
      </c>
      <c r="Q59" s="29">
        <v>-1038691.5631586863</v>
      </c>
      <c r="S59" s="29">
        <v>-4273951.24</v>
      </c>
      <c r="U59" s="29">
        <v>-3275350.9579810426</v>
      </c>
      <c r="W59" s="29">
        <v>-1321977.28</v>
      </c>
      <c r="Y59" s="29">
        <v>-794102.34063143178</v>
      </c>
      <c r="AA59" s="29">
        <v>-6986577.9388566259</v>
      </c>
      <c r="AC59" s="29">
        <v>-3211607.4699999997</v>
      </c>
      <c r="AE59" s="29">
        <v>-2273525.4908571145</v>
      </c>
      <c r="AG59" s="29">
        <v>-809813.68983176968</v>
      </c>
      <c r="AI59" s="29">
        <v>-3980586.5962686259</v>
      </c>
      <c r="AK59" s="29">
        <v>-3194095.9814157668</v>
      </c>
      <c r="AM59" s="29">
        <v>-2343627.9442024385</v>
      </c>
      <c r="AO59" s="29">
        <v>-744124.89796361281</v>
      </c>
      <c r="AQ59" s="29">
        <v>-2400022.5969635719</v>
      </c>
      <c r="AS59" s="29">
        <v>-1182680.5000000002</v>
      </c>
      <c r="AU59" s="29">
        <v>-675670.52</v>
      </c>
      <c r="AW59" s="29">
        <v>-381480.04675503442</v>
      </c>
      <c r="AY59" s="29">
        <v>-652893.84</v>
      </c>
      <c r="BA59" s="29">
        <v>-456443.96</v>
      </c>
      <c r="BC59" s="29">
        <v>-256883.96000000002</v>
      </c>
      <c r="BE59" s="29">
        <v>-110015.57999999999</v>
      </c>
      <c r="BG59" s="29">
        <v>-1018354.8300000001</v>
      </c>
      <c r="BI59" s="29">
        <v>-906224.27</v>
      </c>
      <c r="BK59" s="29">
        <v>-770933.9</v>
      </c>
      <c r="BM59" s="29">
        <v>-654800.02</v>
      </c>
      <c r="BO59" s="29">
        <v>-502838.47</v>
      </c>
      <c r="BQ59" s="29">
        <v>-357451.51</v>
      </c>
      <c r="BS59" s="29">
        <v>-217026.42</v>
      </c>
      <c r="BU59" s="29">
        <v>-1140163.29</v>
      </c>
      <c r="BW59" s="29">
        <v>-869302.84</v>
      </c>
      <c r="BY59" s="29">
        <v>-582439.97</v>
      </c>
      <c r="CA59" s="29">
        <v>-296383.87</v>
      </c>
      <c r="CC59" s="29">
        <v>-1375957.67</v>
      </c>
      <c r="CE59" s="29">
        <v>-925580.98</v>
      </c>
      <c r="CG59" s="29">
        <v>-635334</v>
      </c>
      <c r="CI59" s="29">
        <v>-340765.69</v>
      </c>
      <c r="CK59" s="29">
        <v>-1359472.7999999998</v>
      </c>
      <c r="CM59" s="29">
        <v>-945566.26067990717</v>
      </c>
      <c r="CO59" s="29">
        <v>-651959.75000000012</v>
      </c>
      <c r="CQ59" s="29">
        <v>-244969.82000000027</v>
      </c>
      <c r="CS59" s="29">
        <v>-878229.08</v>
      </c>
      <c r="CU59" s="29">
        <v>-573810.63</v>
      </c>
      <c r="CW59" s="29">
        <v>-409738.16999999987</v>
      </c>
      <c r="CY59" s="29">
        <v>-710469.8</v>
      </c>
      <c r="DA59" s="29">
        <v>-926754.66</v>
      </c>
      <c r="DC59" s="29"/>
      <c r="DD59" s="5"/>
      <c r="DE59" s="29"/>
      <c r="DF59" s="5"/>
      <c r="DG59" s="29"/>
      <c r="DH59" s="5"/>
      <c r="DI59" s="29">
        <f t="shared" si="117"/>
        <v>-1384969.0646311068</v>
      </c>
      <c r="DJ59" s="5"/>
      <c r="DK59" s="29">
        <f t="shared" si="118"/>
        <v>-1358058.7091443446</v>
      </c>
      <c r="DL59" s="5"/>
      <c r="DM59" s="29">
        <f t="shared" si="118"/>
        <v>-1103242.1080556558</v>
      </c>
      <c r="DN59" s="5"/>
      <c r="DO59" s="29">
        <f t="shared" si="118"/>
        <v>-1091495.3596413136</v>
      </c>
      <c r="DP59" s="5"/>
      <c r="DQ59" s="29">
        <f t="shared" si="119"/>
        <v>-1038691.5631586863</v>
      </c>
      <c r="DR59" s="5"/>
      <c r="DS59" s="29">
        <f t="shared" si="91"/>
        <v>-998600.28201895766</v>
      </c>
      <c r="DT59" s="5"/>
      <c r="DU59" s="29">
        <f t="shared" si="91"/>
        <v>-1953373.6779810425</v>
      </c>
      <c r="DV59" s="5"/>
      <c r="DW59" s="29">
        <f t="shared" si="91"/>
        <v>-527874.93936856824</v>
      </c>
      <c r="DX59" s="5"/>
      <c r="DY59" s="29">
        <f t="shared" si="120"/>
        <v>-794102.34063143178</v>
      </c>
      <c r="DZ59" s="5"/>
      <c r="EA59" s="29">
        <f t="shared" si="93"/>
        <v>-3774970.4688566262</v>
      </c>
      <c r="EB59" s="5"/>
      <c r="EC59" s="29">
        <f t="shared" si="93"/>
        <v>-938081.97914288519</v>
      </c>
      <c r="ED59" s="5"/>
      <c r="EE59" s="29">
        <f t="shared" si="93"/>
        <v>-1463711.801025345</v>
      </c>
      <c r="EF59" s="5"/>
      <c r="EG59" s="29">
        <f t="shared" si="121"/>
        <v>-809813.68983176968</v>
      </c>
      <c r="EH59" s="5"/>
      <c r="EI59" s="29">
        <f t="shared" si="122"/>
        <v>-786490.61485285917</v>
      </c>
      <c r="EJ59" s="5"/>
      <c r="EK59" s="29">
        <f t="shared" si="122"/>
        <v>-850468.03721332829</v>
      </c>
      <c r="EL59" s="5"/>
      <c r="EM59" s="29">
        <f t="shared" si="122"/>
        <v>-1599503.0462388257</v>
      </c>
      <c r="EN59" s="5"/>
      <c r="EO59" s="29">
        <f t="shared" si="96"/>
        <v>-744124.89796361281</v>
      </c>
      <c r="EP59" s="5"/>
      <c r="EQ59" s="29">
        <f t="shared" si="97"/>
        <v>-1217342.0969635716</v>
      </c>
      <c r="ER59" s="5"/>
      <c r="ES59" s="29">
        <f t="shared" si="98"/>
        <v>-507009.98000000021</v>
      </c>
      <c r="ET59" s="5"/>
      <c r="EU59" s="29">
        <f t="shared" si="99"/>
        <v>-294190.4732449656</v>
      </c>
      <c r="EV59" s="5"/>
      <c r="EW59" s="29">
        <f t="shared" si="123"/>
        <v>-381480.04675503442</v>
      </c>
      <c r="EX59" s="5"/>
      <c r="EY59" s="29">
        <f t="shared" si="101"/>
        <v>-196449.87999999995</v>
      </c>
      <c r="EZ59" s="5"/>
      <c r="FA59" s="29">
        <f t="shared" si="101"/>
        <v>-199560</v>
      </c>
      <c r="FB59" s="5"/>
      <c r="FC59" s="29">
        <f t="shared" si="101"/>
        <v>-146868.38000000003</v>
      </c>
      <c r="FD59" s="5"/>
      <c r="FE59" s="29">
        <f t="shared" si="124"/>
        <v>-110015.57999999999</v>
      </c>
      <c r="FF59" s="5"/>
      <c r="FG59" s="29">
        <v>-112130.56000000006</v>
      </c>
      <c r="FH59" s="5"/>
      <c r="FI59" s="29">
        <f t="shared" si="116"/>
        <v>-135290.37</v>
      </c>
      <c r="FJ59" s="5"/>
      <c r="FK59" s="29">
        <f t="shared" si="103"/>
        <v>-116133.88</v>
      </c>
      <c r="FL59" s="5"/>
      <c r="FM59" s="29">
        <f t="shared" si="104"/>
        <v>-151961.55000000005</v>
      </c>
      <c r="FN59" s="5"/>
      <c r="FO59" s="29">
        <f t="shared" si="105"/>
        <v>-145386.95999999996</v>
      </c>
      <c r="FP59" s="5"/>
      <c r="FQ59" s="29">
        <f t="shared" si="106"/>
        <v>-140425.09</v>
      </c>
      <c r="FR59" s="5"/>
      <c r="FS59" s="29">
        <f t="shared" si="107"/>
        <v>-217026.42</v>
      </c>
      <c r="FT59" s="5"/>
      <c r="FU59" s="29">
        <f t="shared" si="108"/>
        <v>-270860.45000000007</v>
      </c>
      <c r="FV59" s="5"/>
      <c r="FW59" s="29">
        <f t="shared" si="108"/>
        <v>-286862.87</v>
      </c>
      <c r="FX59" s="5"/>
      <c r="FY59" s="29">
        <f t="shared" si="108"/>
        <v>-286056.09999999998</v>
      </c>
      <c r="FZ59" s="5"/>
      <c r="GA59" s="29">
        <f t="shared" si="109"/>
        <v>-296383.87</v>
      </c>
      <c r="GB59" s="5"/>
      <c r="GC59" s="29">
        <f t="shared" si="110"/>
        <v>-450376.68999999994</v>
      </c>
      <c r="GD59" s="5"/>
      <c r="GE59" s="29">
        <f t="shared" si="110"/>
        <v>-290246.98</v>
      </c>
      <c r="GF59" s="5"/>
      <c r="GG59" s="29">
        <f t="shared" si="110"/>
        <v>-294568.31</v>
      </c>
      <c r="GH59" s="5"/>
      <c r="GI59" s="29">
        <f t="shared" si="111"/>
        <v>-340765.69</v>
      </c>
      <c r="GJ59" s="5"/>
      <c r="GK59" s="29">
        <f t="shared" si="112"/>
        <v>-413906.53932009265</v>
      </c>
      <c r="GL59" s="5"/>
      <c r="GM59" s="29">
        <f t="shared" si="112"/>
        <v>-293606.51067990705</v>
      </c>
      <c r="GN59" s="5"/>
      <c r="GO59" s="29">
        <f t="shared" si="113"/>
        <v>-406989.92999999982</v>
      </c>
      <c r="GP59" s="5"/>
      <c r="GQ59" s="29">
        <f t="shared" si="114"/>
        <v>-244969.82000000027</v>
      </c>
      <c r="GR59" s="5"/>
      <c r="GS59" s="29">
        <f t="shared" si="115"/>
        <v>-304418.44999999995</v>
      </c>
      <c r="GT59" s="5"/>
      <c r="GU59" s="29">
        <f t="shared" si="115"/>
        <v>-164072.46000000014</v>
      </c>
    </row>
    <row r="60" spans="1:203">
      <c r="A60" s="38" t="s">
        <v>93</v>
      </c>
      <c r="C60" s="29"/>
      <c r="E60" s="29"/>
      <c r="G60" s="29"/>
      <c r="I60" s="29">
        <v>-447976.33</v>
      </c>
      <c r="K60" s="29">
        <v>-1438413.39</v>
      </c>
      <c r="M60" s="29">
        <v>-1084603.0699999998</v>
      </c>
      <c r="O60" s="29">
        <v>-683538.93443200004</v>
      </c>
      <c r="Q60" s="29">
        <v>-519003.93</v>
      </c>
      <c r="S60" s="29">
        <v>-1634129.39</v>
      </c>
      <c r="U60" s="29">
        <v>-1161374.96</v>
      </c>
      <c r="W60" s="29">
        <v>-786073.20000000019</v>
      </c>
      <c r="Y60" s="29">
        <v>-577611.44999999995</v>
      </c>
      <c r="AA60" s="29">
        <v>-1328693.6463741579</v>
      </c>
      <c r="AC60" s="29">
        <v>-827626.53</v>
      </c>
      <c r="AE60" s="29">
        <v>-358658.24</v>
      </c>
      <c r="AG60" s="29">
        <v>-129739.83000000002</v>
      </c>
      <c r="AI60" s="29">
        <v>-590501.67000000004</v>
      </c>
      <c r="AK60" s="29">
        <v>-373169.74000000005</v>
      </c>
      <c r="AM60" s="29">
        <v>-192128.08999999997</v>
      </c>
      <c r="AO60" s="29">
        <v>-135672.47000000003</v>
      </c>
      <c r="AQ60" s="29">
        <v>-594497.22</v>
      </c>
      <c r="AS60" s="29">
        <v>-477259.98</v>
      </c>
      <c r="AU60" s="29">
        <v>-222345.35904081041</v>
      </c>
      <c r="AW60" s="29">
        <v>-27460</v>
      </c>
      <c r="AY60" s="29">
        <v>-699248.85</v>
      </c>
      <c r="BA60" s="29">
        <v>-595061.51</v>
      </c>
      <c r="BC60" s="29">
        <v>-383898.58</v>
      </c>
      <c r="BE60" s="29">
        <v>-210404.63</v>
      </c>
      <c r="BG60" s="29">
        <v>-767118.1</v>
      </c>
      <c r="BI60" s="29">
        <v>-424740.08</v>
      </c>
      <c r="BK60" s="29">
        <v>-217774.94</v>
      </c>
      <c r="BM60" s="29">
        <v>-197715.77</v>
      </c>
      <c r="BO60" s="29">
        <v>-146407.67999999996</v>
      </c>
      <c r="BQ60" s="29">
        <v>-127612.31</v>
      </c>
      <c r="BS60" s="29">
        <v>9572.17</v>
      </c>
      <c r="BU60" s="29">
        <v>-301771.40000000002</v>
      </c>
      <c r="BW60" s="29">
        <v>-221679.56</v>
      </c>
      <c r="BY60" s="29">
        <v>-150719.38</v>
      </c>
      <c r="CA60" s="29">
        <v>-72532.41</v>
      </c>
      <c r="CC60" s="29">
        <v>-494594.86</v>
      </c>
      <c r="CE60" s="29">
        <v>-393018.77</v>
      </c>
      <c r="CG60" s="29">
        <v>-251930.25000000003</v>
      </c>
      <c r="CI60" s="29">
        <v>-146453.9</v>
      </c>
      <c r="CK60" s="29">
        <v>-443442.28999999986</v>
      </c>
      <c r="CM60" s="29">
        <v>-485723.41</v>
      </c>
      <c r="CO60" s="29">
        <v>-280510.99</v>
      </c>
      <c r="CQ60" s="29">
        <v>-157365.60999999999</v>
      </c>
      <c r="CS60" s="29">
        <v>-1040277.27</v>
      </c>
      <c r="CU60" s="29">
        <v>-465227.85</v>
      </c>
      <c r="CW60" s="29">
        <v>-327258.30000000005</v>
      </c>
      <c r="CY60" s="29">
        <v>-1055733.1800000002</v>
      </c>
      <c r="DA60" s="29">
        <v>-1172195.93</v>
      </c>
      <c r="DC60" s="29"/>
      <c r="DD60" s="5"/>
      <c r="DE60" s="29"/>
      <c r="DF60" s="5"/>
      <c r="DG60" s="29"/>
      <c r="DH60" s="5"/>
      <c r="DI60" s="29">
        <f t="shared" si="117"/>
        <v>-447976.33</v>
      </c>
      <c r="DJ60" s="5"/>
      <c r="DK60" s="29">
        <f t="shared" si="118"/>
        <v>-353810.32000000007</v>
      </c>
      <c r="DL60" s="5"/>
      <c r="DM60" s="29">
        <f t="shared" si="118"/>
        <v>-401064.13556799979</v>
      </c>
      <c r="DN60" s="5"/>
      <c r="DO60" s="29">
        <f t="shared" si="118"/>
        <v>-164535.00443200005</v>
      </c>
      <c r="DP60" s="5"/>
      <c r="DQ60" s="29">
        <f t="shared" si="119"/>
        <v>-519003.93</v>
      </c>
      <c r="DR60" s="5"/>
      <c r="DS60" s="29">
        <f t="shared" si="91"/>
        <v>-472754.42999999993</v>
      </c>
      <c r="DT60" s="5"/>
      <c r="DU60" s="29">
        <f t="shared" si="91"/>
        <v>-375301.75999999978</v>
      </c>
      <c r="DV60" s="5"/>
      <c r="DW60" s="29">
        <f t="shared" si="91"/>
        <v>-208461.75000000023</v>
      </c>
      <c r="DX60" s="5"/>
      <c r="DY60" s="29">
        <f t="shared" si="120"/>
        <v>-577611.44999999995</v>
      </c>
      <c r="DZ60" s="5"/>
      <c r="EA60" s="29">
        <f t="shared" si="93"/>
        <v>-501067.11637415783</v>
      </c>
      <c r="EB60" s="5"/>
      <c r="EC60" s="29">
        <f t="shared" si="93"/>
        <v>-468968.29000000004</v>
      </c>
      <c r="ED60" s="5"/>
      <c r="EE60" s="29">
        <f t="shared" si="93"/>
        <v>-228918.40999999997</v>
      </c>
      <c r="EF60" s="5"/>
      <c r="EG60" s="29">
        <f t="shared" si="121"/>
        <v>-129739.83000000002</v>
      </c>
      <c r="EH60" s="5"/>
      <c r="EI60" s="29">
        <f t="shared" si="122"/>
        <v>-217331.93</v>
      </c>
      <c r="EJ60" s="5"/>
      <c r="EK60" s="29">
        <f t="shared" si="122"/>
        <v>-181041.65000000008</v>
      </c>
      <c r="EL60" s="5"/>
      <c r="EM60" s="29">
        <f t="shared" si="122"/>
        <v>-56455.619999999937</v>
      </c>
      <c r="EN60" s="5"/>
      <c r="EO60" s="29">
        <f t="shared" si="96"/>
        <v>-135672.47000000003</v>
      </c>
      <c r="EP60" s="5"/>
      <c r="EQ60" s="29">
        <f t="shared" si="97"/>
        <v>-117237.23999999999</v>
      </c>
      <c r="ER60" s="5"/>
      <c r="ES60" s="29">
        <f t="shared" si="98"/>
        <v>-254914.62095918957</v>
      </c>
      <c r="ET60" s="5"/>
      <c r="EU60" s="29">
        <f t="shared" si="99"/>
        <v>-194885.35904081041</v>
      </c>
      <c r="EV60" s="5"/>
      <c r="EW60" s="29">
        <f t="shared" si="123"/>
        <v>-27460</v>
      </c>
      <c r="EX60" s="5"/>
      <c r="EY60" s="29">
        <f t="shared" si="101"/>
        <v>-104187.33999999997</v>
      </c>
      <c r="EZ60" s="5"/>
      <c r="FA60" s="29">
        <f t="shared" si="101"/>
        <v>-211162.93</v>
      </c>
      <c r="FB60" s="5"/>
      <c r="FC60" s="29">
        <f t="shared" si="101"/>
        <v>-173493.95</v>
      </c>
      <c r="FD60" s="5"/>
      <c r="FE60" s="29">
        <f t="shared" si="124"/>
        <v>-210404.63</v>
      </c>
      <c r="FF60" s="5"/>
      <c r="FG60" s="29">
        <v>-342378.02</v>
      </c>
      <c r="FH60" s="5"/>
      <c r="FI60" s="29">
        <f t="shared" si="116"/>
        <v>-206965.14</v>
      </c>
      <c r="FJ60" s="5"/>
      <c r="FK60" s="29">
        <f t="shared" si="103"/>
        <v>-20059.170000000013</v>
      </c>
      <c r="FL60" s="5"/>
      <c r="FM60" s="29">
        <f t="shared" si="104"/>
        <v>-51308.090000000026</v>
      </c>
      <c r="FN60" s="5"/>
      <c r="FO60" s="29">
        <f t="shared" si="105"/>
        <v>-18795.369999999966</v>
      </c>
      <c r="FP60" s="5"/>
      <c r="FQ60" s="29">
        <f t="shared" si="106"/>
        <v>-137184.48000000001</v>
      </c>
      <c r="FR60" s="5"/>
      <c r="FS60" s="29">
        <f t="shared" si="107"/>
        <v>9572.17</v>
      </c>
      <c r="FT60" s="5"/>
      <c r="FU60" s="29">
        <f t="shared" si="108"/>
        <v>-80091.840000000026</v>
      </c>
      <c r="FV60" s="5"/>
      <c r="FW60" s="29">
        <f t="shared" si="108"/>
        <v>-70960.179999999993</v>
      </c>
      <c r="FX60" s="5"/>
      <c r="FY60" s="29">
        <f t="shared" si="108"/>
        <v>-78186.97</v>
      </c>
      <c r="FZ60" s="5"/>
      <c r="GA60" s="29">
        <f t="shared" si="109"/>
        <v>-72532.41</v>
      </c>
      <c r="GB60" s="5"/>
      <c r="GC60" s="29">
        <f t="shared" si="110"/>
        <v>-101576.08999999997</v>
      </c>
      <c r="GD60" s="5"/>
      <c r="GE60" s="29">
        <f t="shared" si="110"/>
        <v>-141088.51999999999</v>
      </c>
      <c r="GF60" s="5"/>
      <c r="GG60" s="29">
        <f t="shared" si="110"/>
        <v>-105476.35000000003</v>
      </c>
      <c r="GH60" s="5"/>
      <c r="GI60" s="29">
        <f t="shared" si="111"/>
        <v>-146453.9</v>
      </c>
      <c r="GJ60" s="5"/>
      <c r="GK60" s="29">
        <f t="shared" si="112"/>
        <v>42281.120000000112</v>
      </c>
      <c r="GL60" s="5"/>
      <c r="GM60" s="29">
        <f t="shared" si="112"/>
        <v>-205212.41999999998</v>
      </c>
      <c r="GN60" s="5"/>
      <c r="GO60" s="29">
        <f t="shared" si="113"/>
        <v>-123145.38</v>
      </c>
      <c r="GP60" s="5"/>
      <c r="GQ60" s="29">
        <f t="shared" si="114"/>
        <v>-157365.60999999999</v>
      </c>
      <c r="GR60" s="5"/>
      <c r="GS60" s="29">
        <f t="shared" si="115"/>
        <v>-575049.42000000004</v>
      </c>
      <c r="GT60" s="5"/>
      <c r="GU60" s="29">
        <f t="shared" si="115"/>
        <v>-137969.54999999993</v>
      </c>
    </row>
    <row r="61" spans="1:203">
      <c r="A61" s="38" t="s">
        <v>133</v>
      </c>
      <c r="C61" s="29"/>
      <c r="E61" s="29"/>
      <c r="G61" s="29"/>
      <c r="I61" s="29">
        <v>0</v>
      </c>
      <c r="K61" s="29">
        <v>0</v>
      </c>
      <c r="M61" s="29">
        <v>0</v>
      </c>
      <c r="O61" s="29">
        <v>0</v>
      </c>
      <c r="Q61" s="29">
        <v>0</v>
      </c>
      <c r="S61" s="29">
        <v>0</v>
      </c>
      <c r="U61" s="29">
        <v>0</v>
      </c>
      <c r="W61" s="29">
        <v>0</v>
      </c>
      <c r="Y61" s="29">
        <v>0</v>
      </c>
      <c r="AA61" s="29">
        <v>0</v>
      </c>
      <c r="AC61" s="29">
        <v>0</v>
      </c>
      <c r="AE61" s="29">
        <v>0</v>
      </c>
      <c r="AG61" s="29">
        <v>0</v>
      </c>
      <c r="AI61" s="29">
        <v>0</v>
      </c>
      <c r="AK61" s="29">
        <v>0</v>
      </c>
      <c r="AM61" s="29">
        <v>0</v>
      </c>
      <c r="AO61" s="29">
        <v>0</v>
      </c>
      <c r="AQ61" s="29">
        <v>0</v>
      </c>
      <c r="AS61" s="29">
        <v>0</v>
      </c>
      <c r="AU61" s="29">
        <v>0</v>
      </c>
      <c r="AW61" s="29">
        <v>0</v>
      </c>
      <c r="AY61" s="29">
        <v>0</v>
      </c>
      <c r="BA61" s="29">
        <v>0</v>
      </c>
      <c r="BC61" s="29">
        <v>0</v>
      </c>
      <c r="BE61" s="29">
        <v>0</v>
      </c>
      <c r="BG61" s="29">
        <v>-276345.40000000002</v>
      </c>
      <c r="BI61" s="29">
        <v>0</v>
      </c>
      <c r="BK61" s="29">
        <v>0</v>
      </c>
      <c r="BM61" s="29">
        <v>0</v>
      </c>
      <c r="BO61" s="29">
        <v>0</v>
      </c>
      <c r="BQ61" s="29">
        <v>0</v>
      </c>
      <c r="BS61" s="29">
        <v>0</v>
      </c>
      <c r="BU61" s="29">
        <v>0</v>
      </c>
      <c r="BW61" s="29">
        <v>0</v>
      </c>
      <c r="BY61" s="29">
        <v>0</v>
      </c>
      <c r="CA61" s="29"/>
      <c r="CC61" s="29"/>
      <c r="CE61" s="29">
        <v>0</v>
      </c>
      <c r="CG61" s="29">
        <v>0</v>
      </c>
      <c r="CI61" s="29">
        <v>0</v>
      </c>
      <c r="CK61" s="29">
        <v>-52502.99</v>
      </c>
      <c r="CM61" s="29">
        <v>0</v>
      </c>
      <c r="CO61" s="29">
        <v>-46074</v>
      </c>
      <c r="CQ61" s="29">
        <v>-25000</v>
      </c>
      <c r="CS61" s="29">
        <v>-53042.850000000093</v>
      </c>
      <c r="CU61" s="29">
        <v>0</v>
      </c>
      <c r="CW61" s="29">
        <v>0</v>
      </c>
      <c r="CY61" s="29">
        <v>-5500</v>
      </c>
      <c r="DA61" s="29">
        <v>0</v>
      </c>
      <c r="DC61" s="29"/>
      <c r="DD61" s="5"/>
      <c r="DE61" s="29"/>
      <c r="DF61" s="5"/>
      <c r="DG61" s="29"/>
      <c r="DH61" s="5"/>
      <c r="DI61" s="29">
        <f t="shared" si="117"/>
        <v>0</v>
      </c>
      <c r="DJ61" s="5"/>
      <c r="DK61" s="29">
        <f t="shared" si="118"/>
        <v>0</v>
      </c>
      <c r="DL61" s="5"/>
      <c r="DM61" s="29">
        <f t="shared" si="118"/>
        <v>0</v>
      </c>
      <c r="DN61" s="5"/>
      <c r="DO61" s="29">
        <f t="shared" si="118"/>
        <v>0</v>
      </c>
      <c r="DP61" s="5"/>
      <c r="DQ61" s="29">
        <f t="shared" si="119"/>
        <v>0</v>
      </c>
      <c r="DR61" s="5"/>
      <c r="DS61" s="29">
        <f t="shared" si="91"/>
        <v>0</v>
      </c>
      <c r="DT61" s="5"/>
      <c r="DU61" s="29">
        <f t="shared" si="91"/>
        <v>0</v>
      </c>
      <c r="DV61" s="5"/>
      <c r="DW61" s="29">
        <f t="shared" si="91"/>
        <v>0</v>
      </c>
      <c r="DX61" s="5"/>
      <c r="DY61" s="29">
        <f t="shared" si="120"/>
        <v>0</v>
      </c>
      <c r="DZ61" s="5"/>
      <c r="EA61" s="29">
        <f t="shared" si="93"/>
        <v>0</v>
      </c>
      <c r="EB61" s="5"/>
      <c r="EC61" s="29">
        <f t="shared" si="93"/>
        <v>0</v>
      </c>
      <c r="ED61" s="5"/>
      <c r="EE61" s="29">
        <f t="shared" si="93"/>
        <v>0</v>
      </c>
      <c r="EF61" s="5"/>
      <c r="EG61" s="29">
        <f t="shared" si="121"/>
        <v>0</v>
      </c>
      <c r="EH61" s="5"/>
      <c r="EI61" s="29">
        <f t="shared" si="122"/>
        <v>0</v>
      </c>
      <c r="EJ61" s="5"/>
      <c r="EK61" s="29">
        <f t="shared" si="122"/>
        <v>0</v>
      </c>
      <c r="EL61" s="5"/>
      <c r="EM61" s="29">
        <f t="shared" si="122"/>
        <v>0</v>
      </c>
      <c r="EN61" s="5"/>
      <c r="EO61" s="29">
        <f t="shared" si="96"/>
        <v>0</v>
      </c>
      <c r="EP61" s="5"/>
      <c r="EQ61" s="29">
        <f t="shared" si="97"/>
        <v>0</v>
      </c>
      <c r="ER61" s="5"/>
      <c r="ES61" s="29">
        <f t="shared" si="98"/>
        <v>0</v>
      </c>
      <c r="ET61" s="5"/>
      <c r="EU61" s="29">
        <f t="shared" si="99"/>
        <v>0</v>
      </c>
      <c r="EV61" s="5"/>
      <c r="EW61" s="29">
        <f t="shared" si="123"/>
        <v>0</v>
      </c>
      <c r="EX61" s="5"/>
      <c r="EY61" s="29">
        <f t="shared" si="101"/>
        <v>0</v>
      </c>
      <c r="EZ61" s="5"/>
      <c r="FA61" s="29">
        <f t="shared" si="101"/>
        <v>0</v>
      </c>
      <c r="FB61" s="5"/>
      <c r="FC61" s="29">
        <f t="shared" si="101"/>
        <v>0</v>
      </c>
      <c r="FD61" s="5"/>
      <c r="FE61" s="29">
        <f t="shared" si="124"/>
        <v>0</v>
      </c>
      <c r="FF61" s="5"/>
      <c r="FG61" s="29">
        <v>-276345.40000000002</v>
      </c>
      <c r="FH61" s="5"/>
      <c r="FI61" s="29">
        <f t="shared" si="116"/>
        <v>0</v>
      </c>
      <c r="FJ61" s="5"/>
      <c r="FK61" s="29">
        <f t="shared" si="103"/>
        <v>0</v>
      </c>
      <c r="FL61" s="5"/>
      <c r="FM61" s="29">
        <f t="shared" si="104"/>
        <v>0</v>
      </c>
      <c r="FN61" s="5"/>
      <c r="FO61" s="29">
        <f t="shared" si="105"/>
        <v>0</v>
      </c>
      <c r="FP61" s="5"/>
      <c r="FQ61" s="29">
        <f t="shared" si="106"/>
        <v>0</v>
      </c>
      <c r="FR61" s="5"/>
      <c r="FS61" s="29">
        <f t="shared" si="107"/>
        <v>0</v>
      </c>
      <c r="FT61" s="5"/>
      <c r="FU61" s="29">
        <f t="shared" si="108"/>
        <v>0</v>
      </c>
      <c r="FV61" s="5"/>
      <c r="FW61" s="29">
        <f t="shared" si="108"/>
        <v>0</v>
      </c>
      <c r="FX61" s="5"/>
      <c r="FY61" s="29">
        <f t="shared" si="108"/>
        <v>0</v>
      </c>
      <c r="FZ61" s="5"/>
      <c r="GA61" s="29">
        <f t="shared" si="109"/>
        <v>0</v>
      </c>
      <c r="GB61" s="5"/>
      <c r="GC61" s="29">
        <f t="shared" si="110"/>
        <v>0</v>
      </c>
      <c r="GD61" s="5"/>
      <c r="GE61" s="29">
        <f t="shared" si="110"/>
        <v>0</v>
      </c>
      <c r="GF61" s="5"/>
      <c r="GG61" s="29">
        <f t="shared" si="110"/>
        <v>0</v>
      </c>
      <c r="GH61" s="5"/>
      <c r="GI61" s="29">
        <f t="shared" si="111"/>
        <v>0</v>
      </c>
      <c r="GJ61" s="5"/>
      <c r="GK61" s="29">
        <f t="shared" si="112"/>
        <v>-52502.99</v>
      </c>
      <c r="GL61" s="5"/>
      <c r="GM61" s="29">
        <f t="shared" si="112"/>
        <v>46074</v>
      </c>
      <c r="GN61" s="5"/>
      <c r="GO61" s="29">
        <f t="shared" si="113"/>
        <v>-21074</v>
      </c>
      <c r="GP61" s="5"/>
      <c r="GQ61" s="29">
        <f t="shared" si="114"/>
        <v>-25000</v>
      </c>
      <c r="GR61" s="5"/>
      <c r="GS61" s="29">
        <f t="shared" si="115"/>
        <v>-53042.850000000093</v>
      </c>
      <c r="GT61" s="5"/>
      <c r="GU61" s="29">
        <f t="shared" si="115"/>
        <v>0</v>
      </c>
    </row>
    <row r="62" spans="1:203" s="39" customFormat="1" ht="13">
      <c r="A62" s="37" t="s">
        <v>134</v>
      </c>
      <c r="C62" s="104"/>
      <c r="E62" s="104"/>
      <c r="F62" s="105"/>
      <c r="G62" s="104"/>
      <c r="H62" s="105"/>
      <c r="I62" s="104">
        <f>SUM(I49:I53,I55:I61)</f>
        <v>-1832945.3946311069</v>
      </c>
      <c r="K62" s="104">
        <f>SUM(K49:K53,K55:K61)</f>
        <v>-33173162</v>
      </c>
      <c r="M62" s="104">
        <f>SUM(M49:M53,M55:M61)</f>
        <v>-31461292.967063993</v>
      </c>
      <c r="N62" s="105"/>
      <c r="O62" s="104">
        <f>SUM(O49:O53,O55:O61)</f>
        <v>-29956986.727232002</v>
      </c>
      <c r="P62" s="105"/>
      <c r="Q62" s="104">
        <f>SUM(Q49:Q53,Q55:Q61)</f>
        <v>-2207695.4931586864</v>
      </c>
      <c r="S62" s="104">
        <f>SUM(S49:S53,S55:S61)</f>
        <v>-31595593.759999998</v>
      </c>
      <c r="U62" s="104">
        <f>SUM(U49:U53,U55:U61)</f>
        <v>-22400934.316001043</v>
      </c>
      <c r="V62" s="105"/>
      <c r="W62" s="104">
        <f>SUM(W49:W53,W55:W61)</f>
        <v>-24452922.338020001</v>
      </c>
      <c r="X62" s="105"/>
      <c r="Y62" s="104">
        <f>SUM(Y49:Y53,Y55:Y61)</f>
        <v>-19863292.310631432</v>
      </c>
      <c r="AA62" s="104">
        <f>SUM(AA49:AA53,AA55:AA61)</f>
        <v>2142556.3547692141</v>
      </c>
      <c r="AC62" s="104">
        <f>SUM(AC49:AC53,AC55:AC61)</f>
        <v>1492852.4990583418</v>
      </c>
      <c r="AD62" s="105"/>
      <c r="AE62" s="104">
        <f>SUM(AE49:AE53,AE55:AE61)</f>
        <v>5844165.5291428715</v>
      </c>
      <c r="AF62" s="105"/>
      <c r="AG62" s="104">
        <f>SUM(AG49:AG53,AG55:AG61)</f>
        <v>-1653804.6198317697</v>
      </c>
      <c r="AI62" s="104">
        <f>SUM(AI49:AI53,AI55:AI61)</f>
        <v>-11073447.316208499</v>
      </c>
      <c r="AK62" s="104">
        <f>SUM(AK49:AK53,AK55:AK61)</f>
        <v>-9355373.7676242832</v>
      </c>
      <c r="AL62" s="105"/>
      <c r="AM62" s="104">
        <f>SUM(AM49:AM53,AM55:AM61)</f>
        <v>-7673864.0820121001</v>
      </c>
      <c r="AN62" s="105"/>
      <c r="AO62" s="104">
        <f>SUM(AO49:AO53,AO55:AO61)</f>
        <v>-1529797.3681721024</v>
      </c>
      <c r="AQ62" s="104">
        <f>SUM(AQ49:AQ53,AQ55:AQ61)</f>
        <v>-6933006.2536954526</v>
      </c>
      <c r="AS62" s="104">
        <f>SUM(AS49:AS53,AS55:AS61)</f>
        <v>-5652430.5645921379</v>
      </c>
      <c r="AT62" s="105"/>
      <c r="AU62" s="104">
        <f>SUM(AU49:AU53,AU55:AU61)</f>
        <v>2446440.5442041755</v>
      </c>
      <c r="AV62" s="105"/>
      <c r="AW62" s="104">
        <f>SUM(AW49:AW53,AW55:AW61)</f>
        <v>-408940.04675503442</v>
      </c>
      <c r="AX62" s="105"/>
      <c r="AY62" s="104">
        <f>SUM(AY49:AY53,AY55:AY61)</f>
        <v>-4972697.6168151572</v>
      </c>
      <c r="BA62" s="104">
        <f>SUM(BA49:BA53,BA55:BA61)</f>
        <v>-4687503.45</v>
      </c>
      <c r="BB62" s="105"/>
      <c r="BC62" s="104">
        <f>SUM(BC49:BC53,BC55:BC61)</f>
        <v>-2976780.52</v>
      </c>
      <c r="BD62" s="105"/>
      <c r="BE62" s="104">
        <f>SUM(BE49:BE53,BE55:BE61)</f>
        <v>-1435830.809199994</v>
      </c>
      <c r="BF62" s="105"/>
      <c r="BG62" s="104">
        <f>SUM(BG49:BG53,BG55:BG61)</f>
        <v>8438112.2433150057</v>
      </c>
      <c r="BI62" s="104">
        <f>SUM(BI49:BI53,BI55:BI61)</f>
        <v>12616514.010000004</v>
      </c>
      <c r="BJ62" s="105"/>
      <c r="BK62" s="104">
        <f>SUM(BK49:BK53,BK55:BK61)</f>
        <v>12217725.010000002</v>
      </c>
      <c r="BL62" s="105"/>
      <c r="BM62" s="104">
        <f>SUM(BM49:BM53,BM55:BM61)</f>
        <v>-3915573.7300000004</v>
      </c>
      <c r="BN62" s="105"/>
      <c r="BO62" s="104">
        <f>SUM(BO49:BO53,BO55:BO61)</f>
        <v>3907740.2000000007</v>
      </c>
      <c r="BQ62" s="104">
        <f>SUM(BQ49:BQ53,BQ55:BQ61)</f>
        <v>3626548.6800000011</v>
      </c>
      <c r="BR62" s="105"/>
      <c r="BS62" s="104">
        <f>SUM(BS49:BS53,BS55:BS61)</f>
        <v>1780909.0400000007</v>
      </c>
      <c r="BT62" s="105"/>
      <c r="BU62" s="104">
        <f>SUM(BU49:BU53,BU55:BU61)</f>
        <v>-2722418.86</v>
      </c>
      <c r="BW62" s="104">
        <f>SUM(BW49:BW53,BW55:BW61)</f>
        <v>-487519.61999999924</v>
      </c>
      <c r="BX62" s="105"/>
      <c r="BY62" s="104">
        <f>SUM(BY49:BY53,BY55:BY61)</f>
        <v>530248.09000000043</v>
      </c>
      <c r="BZ62" s="105"/>
      <c r="CA62" s="104">
        <f>SUM(CA49:CA53,CA55:CA61)</f>
        <v>1223864.6400000004</v>
      </c>
      <c r="CB62" s="105"/>
      <c r="CC62" s="104">
        <f>SUM(CC49:CC53,CC55:CC61)</f>
        <v>-4896132.0500000017</v>
      </c>
      <c r="CE62" s="104">
        <f>SUM(CE49:CE53,CE55:CE61)</f>
        <v>-3832015.2600000007</v>
      </c>
      <c r="CF62" s="105"/>
      <c r="CG62" s="104">
        <v>-2274156.8900000006</v>
      </c>
      <c r="CH62" s="105"/>
      <c r="CI62" s="104">
        <v>-1005797.7699999999</v>
      </c>
      <c r="CJ62" s="105"/>
      <c r="CK62" s="104">
        <f>SUM(CK49:CK53,CK55:CK61)</f>
        <v>1066369.1100000008</v>
      </c>
      <c r="CL62" s="105"/>
      <c r="CM62" s="104">
        <f>SUM(CM49:CM53,CM55:CM61)</f>
        <v>2573776.2330109267</v>
      </c>
      <c r="CN62" s="105"/>
      <c r="CO62" s="104">
        <f>SUM(CO49:CO53,CO55:CO61)</f>
        <v>3824021.1336908303</v>
      </c>
      <c r="CP62" s="105"/>
      <c r="CQ62" s="104">
        <f>SUM(CQ49:CQ53,CQ55:CQ61)</f>
        <v>4523626.671400005</v>
      </c>
      <c r="CR62" s="105"/>
      <c r="CS62" s="104">
        <f>SUM(CS49:CS53,CS55:CS61)</f>
        <v>33676003.839999996</v>
      </c>
      <c r="CT62" s="105"/>
      <c r="CU62" s="104">
        <f>SUM(CU49:CU53,CU55:CU61)</f>
        <v>1199815.3465635008</v>
      </c>
      <c r="CV62" s="105"/>
      <c r="CW62" s="104">
        <f>SUM(CW49:CW53,CW55:CW61)</f>
        <v>1381576.6627425614</v>
      </c>
      <c r="CX62" s="105"/>
      <c r="CY62" s="104">
        <f>SUM(CY49:CY53,CY55:CY61)</f>
        <v>-2850101.6700000004</v>
      </c>
      <c r="CZ62" s="105"/>
      <c r="DA62" s="104">
        <f>SUM(DA49:DA53,DA55:DA61)</f>
        <v>23774551.330000002</v>
      </c>
      <c r="DB62" s="94"/>
      <c r="DC62" s="104"/>
      <c r="DD62" s="105"/>
      <c r="DE62" s="104"/>
      <c r="DF62" s="105"/>
      <c r="DG62" s="104"/>
      <c r="DH62" s="105"/>
      <c r="DI62" s="104">
        <f>SUM(DI49:DI53,DI55:DI61)</f>
        <v>-1832945.3946311069</v>
      </c>
      <c r="DJ62" s="105"/>
      <c r="DK62" s="104">
        <f>SUM(DK49:DK53,DK55:DK61)</f>
        <v>-1711869.0329360084</v>
      </c>
      <c r="DL62" s="105"/>
      <c r="DM62" s="104">
        <f>SUM(DM49:DM53,DM55:DM61)</f>
        <v>-1504306.239831992</v>
      </c>
      <c r="DN62" s="105"/>
      <c r="DO62" s="104">
        <f>SUM(DO49:DO53,DO55:DO61)</f>
        <v>-27749291.234073315</v>
      </c>
      <c r="DP62" s="105"/>
      <c r="DQ62" s="104">
        <f>SUM(DQ49:DQ53,DQ55:DQ61)</f>
        <v>-2207695.4931586864</v>
      </c>
      <c r="DR62" s="105"/>
      <c r="DS62" s="104">
        <f>SUM(DS49:DS53,DS55:DS61)</f>
        <v>-9194659.4439989552</v>
      </c>
      <c r="DT62" s="105"/>
      <c r="DU62" s="104">
        <f>SUM(DU49:DU53,DU55:DU61)</f>
        <v>2051988.022018956</v>
      </c>
      <c r="DV62" s="105"/>
      <c r="DW62" s="104">
        <f>SUM(DW49:DW53,DW55:DW61)</f>
        <v>-4589630.0273885671</v>
      </c>
      <c r="DX62" s="105"/>
      <c r="DY62" s="104">
        <f>SUM(DY49:DY53,DY55:DY61)</f>
        <v>-19863292.310631432</v>
      </c>
      <c r="DZ62" s="105"/>
      <c r="EA62" s="104">
        <f>SUM(EA49:EA53,EA55:EA61)</f>
        <v>649703.85571087385</v>
      </c>
      <c r="EB62" s="105"/>
      <c r="EC62" s="104">
        <f>SUM(EC49:EC53,EC55:EC61)</f>
        <v>-4351313.0300845308</v>
      </c>
      <c r="ED62" s="105"/>
      <c r="EE62" s="104">
        <f>SUM(EE49:EE53,EE55:EE61)</f>
        <v>7497970.1489746412</v>
      </c>
      <c r="EF62" s="105"/>
      <c r="EG62" s="104">
        <f>SUM(EG49:EG53,EG55:EG61)</f>
        <v>-1653804.6198317697</v>
      </c>
      <c r="EH62" s="105"/>
      <c r="EI62" s="104">
        <f>SUM(EI49:EI53,EI55:EI61)</f>
        <v>-1718073.5485842151</v>
      </c>
      <c r="EJ62" s="105"/>
      <c r="EK62" s="104">
        <f>SUM(EK49:EK53,EK55:EK61)</f>
        <v>-1681509.6856121819</v>
      </c>
      <c r="EL62" s="105"/>
      <c r="EM62" s="104">
        <f>SUM(EM49:EM53,EM55:EM61)</f>
        <v>-6144066.7138399985</v>
      </c>
      <c r="EN62" s="105"/>
      <c r="EO62" s="104">
        <f>SUM(EO49:EO53,EO55:EO61)</f>
        <v>-1529797.3681721024</v>
      </c>
      <c r="EP62" s="105"/>
      <c r="EQ62" s="104">
        <f t="shared" si="97"/>
        <v>-1280575.6891033147</v>
      </c>
      <c r="ER62" s="105"/>
      <c r="ES62" s="104">
        <f t="shared" si="98"/>
        <v>-8098871.1087963134</v>
      </c>
      <c r="ET62" s="105"/>
      <c r="EU62" s="104">
        <f t="shared" si="99"/>
        <v>2855380.5909592099</v>
      </c>
      <c r="EV62" s="105"/>
      <c r="EW62" s="104">
        <f t="shared" si="123"/>
        <v>-408940.04675503442</v>
      </c>
      <c r="EX62" s="105"/>
      <c r="EY62" s="104">
        <f t="shared" si="101"/>
        <v>-285194.16681515705</v>
      </c>
      <c r="EZ62" s="105"/>
      <c r="FA62" s="104">
        <f t="shared" si="101"/>
        <v>-1710722.9300000002</v>
      </c>
      <c r="FB62" s="105"/>
      <c r="FC62" s="104">
        <f t="shared" si="101"/>
        <v>-1540949.7108000061</v>
      </c>
      <c r="FD62" s="105"/>
      <c r="FE62" s="104">
        <f t="shared" si="124"/>
        <v>-1435830.809199994</v>
      </c>
      <c r="FF62" s="105"/>
      <c r="FG62" s="104">
        <f>SUM(FG49:FG53,FG55:FG61)</f>
        <v>-4178397.6066849963</v>
      </c>
      <c r="FH62" s="105"/>
      <c r="FI62" s="104">
        <f t="shared" si="116"/>
        <v>398789.00000000186</v>
      </c>
      <c r="FJ62" s="105"/>
      <c r="FK62" s="104">
        <f t="shared" si="103"/>
        <v>16133298.740000002</v>
      </c>
      <c r="FL62" s="105"/>
      <c r="FM62" s="104">
        <f t="shared" si="104"/>
        <v>-7823313.9300000016</v>
      </c>
      <c r="FN62" s="105"/>
      <c r="FO62" s="104">
        <f t="shared" si="105"/>
        <v>281191.51999999955</v>
      </c>
      <c r="FP62" s="105"/>
      <c r="FQ62" s="104">
        <f t="shared" si="106"/>
        <v>1845639.6400000004</v>
      </c>
      <c r="FR62" s="105"/>
      <c r="FS62" s="104">
        <f t="shared" si="107"/>
        <v>1780909.0400000007</v>
      </c>
      <c r="FT62" s="105"/>
      <c r="FU62" s="104">
        <f t="shared" si="108"/>
        <v>-2234899.2400000007</v>
      </c>
      <c r="FV62" s="105"/>
      <c r="FW62" s="104">
        <f t="shared" si="108"/>
        <v>-1017767.7099999997</v>
      </c>
      <c r="FX62" s="105"/>
      <c r="FY62" s="104">
        <f t="shared" si="108"/>
        <v>-693616.54999999993</v>
      </c>
      <c r="FZ62" s="105"/>
      <c r="GA62" s="104">
        <f t="shared" si="109"/>
        <v>1223864.6400000004</v>
      </c>
      <c r="GB62" s="105"/>
      <c r="GC62" s="104">
        <f t="shared" si="110"/>
        <v>-1064116.790000001</v>
      </c>
      <c r="GD62" s="105"/>
      <c r="GE62" s="104">
        <f t="shared" si="110"/>
        <v>-1557858.37</v>
      </c>
      <c r="GF62" s="105"/>
      <c r="GG62" s="104">
        <f t="shared" si="110"/>
        <v>-1268359.1200000006</v>
      </c>
      <c r="GH62" s="105"/>
      <c r="GI62" s="104">
        <f t="shared" si="111"/>
        <v>-1005797.7699999999</v>
      </c>
      <c r="GJ62" s="105"/>
      <c r="GK62" s="104">
        <f t="shared" si="112"/>
        <v>-1507407.1230109259</v>
      </c>
      <c r="GL62" s="105"/>
      <c r="GM62" s="104">
        <f t="shared" si="112"/>
        <v>-1250244.9006799036</v>
      </c>
      <c r="GN62" s="105"/>
      <c r="GO62" s="104">
        <f t="shared" si="113"/>
        <v>-699605.53770917468</v>
      </c>
      <c r="GP62" s="105"/>
      <c r="GQ62" s="104">
        <f t="shared" si="114"/>
        <v>4523626.671400005</v>
      </c>
      <c r="GR62" s="105"/>
      <c r="GS62" s="104">
        <f t="shared" si="115"/>
        <v>32476188.493436497</v>
      </c>
      <c r="GT62" s="105"/>
      <c r="GU62" s="104">
        <f t="shared" si="115"/>
        <v>-181761.31617906061</v>
      </c>
    </row>
    <row r="63" spans="1:203">
      <c r="C63" s="29"/>
      <c r="E63" s="29"/>
      <c r="G63" s="29"/>
      <c r="I63" s="29"/>
      <c r="K63" s="29"/>
      <c r="M63" s="29"/>
      <c r="O63" s="29"/>
      <c r="Q63" s="29"/>
      <c r="S63" s="29"/>
      <c r="U63" s="29"/>
      <c r="W63" s="29"/>
      <c r="Y63" s="29"/>
      <c r="AA63" s="29"/>
      <c r="AC63" s="29"/>
      <c r="AE63" s="29"/>
      <c r="AG63" s="29"/>
      <c r="AI63" s="29"/>
      <c r="AK63" s="29"/>
      <c r="AM63" s="29"/>
      <c r="AO63" s="29"/>
      <c r="AQ63" s="29"/>
      <c r="AS63" s="29"/>
      <c r="AU63" s="29"/>
      <c r="AW63" s="29"/>
      <c r="AY63" s="29"/>
      <c r="BA63" s="29"/>
      <c r="BC63" s="29"/>
      <c r="BE63" s="29"/>
      <c r="BG63" s="29"/>
      <c r="BI63" s="29"/>
      <c r="BK63" s="29"/>
      <c r="BM63" s="29"/>
      <c r="BO63" s="29"/>
      <c r="BQ63" s="116"/>
      <c r="BS63" s="29"/>
      <c r="BU63" s="29"/>
      <c r="BW63" s="29"/>
      <c r="BY63" s="29"/>
      <c r="CA63" s="29"/>
      <c r="CC63" s="29"/>
      <c r="CE63" s="29"/>
      <c r="CG63" s="29"/>
      <c r="CI63" s="29">
        <v>0</v>
      </c>
      <c r="CK63" s="29"/>
      <c r="CM63" s="29"/>
      <c r="CO63" s="29"/>
      <c r="CQ63" s="29"/>
      <c r="CS63" s="29"/>
      <c r="CU63" s="29"/>
      <c r="CW63" s="29"/>
      <c r="CY63" s="29"/>
      <c r="DA63" s="29"/>
      <c r="DC63" s="29"/>
      <c r="DE63" s="29"/>
      <c r="DG63" s="29"/>
      <c r="DI63" s="29"/>
      <c r="DK63" s="29"/>
      <c r="DM63" s="29"/>
      <c r="DO63" s="29"/>
      <c r="DQ63" s="29"/>
      <c r="DS63" s="29"/>
      <c r="DU63" s="29"/>
      <c r="DW63" s="29"/>
      <c r="DY63" s="29"/>
      <c r="EA63" s="29"/>
      <c r="EC63" s="29"/>
      <c r="EE63" s="29"/>
      <c r="EG63" s="29"/>
      <c r="EI63" s="29"/>
      <c r="EK63" s="29"/>
      <c r="EM63" s="29"/>
      <c r="EO63" s="29"/>
      <c r="FG63" s="116"/>
    </row>
    <row r="64" spans="1:203" s="39" customFormat="1" ht="13">
      <c r="A64" s="37" t="s">
        <v>135</v>
      </c>
      <c r="C64" s="104"/>
      <c r="E64" s="104"/>
      <c r="F64" s="105"/>
      <c r="G64" s="104"/>
      <c r="H64" s="105"/>
      <c r="I64" s="104">
        <f>I23+I45+I62</f>
        <v>103165921.40929899</v>
      </c>
      <c r="K64" s="104">
        <f>K23+K45+K62</f>
        <v>21668478.676669441</v>
      </c>
      <c r="M64" s="104">
        <f>M23+M45+M62</f>
        <v>14002176.478085458</v>
      </c>
      <c r="N64" s="105"/>
      <c r="O64" s="104">
        <f>O23+O45+O62</f>
        <v>8966054.092440851</v>
      </c>
      <c r="P64" s="105"/>
      <c r="Q64" s="104">
        <f>Q23+Q45+Q62</f>
        <v>111231466.51813745</v>
      </c>
      <c r="S64" s="104">
        <f>S23+S45+S62</f>
        <v>52984650.059110574</v>
      </c>
      <c r="U64" s="104">
        <f>U23+U45+U62</f>
        <v>11061488.912030019</v>
      </c>
      <c r="V64" s="105"/>
      <c r="W64" s="104">
        <f>W23+W45+W62</f>
        <v>16282799.313902978</v>
      </c>
      <c r="X64" s="105"/>
      <c r="Y64" s="104">
        <f>Y23+Y45+Y62</f>
        <v>19486575.138158001</v>
      </c>
      <c r="AA64" s="104">
        <f>AA23+AA45+AA62</f>
        <v>-8591856.7284479886</v>
      </c>
      <c r="AC64" s="104">
        <f>AC23+AC45+AC62</f>
        <v>-7120130.5015919898</v>
      </c>
      <c r="AD64" s="105"/>
      <c r="AE64" s="104">
        <f>AE23+AE45+AE62</f>
        <v>-9103731.4936919883</v>
      </c>
      <c r="AF64" s="105"/>
      <c r="AG64" s="104">
        <f>AG23+AG45+AG62</f>
        <v>14551155.209999993</v>
      </c>
      <c r="AI64" s="104">
        <f>AI23+AI45+AI62</f>
        <v>7402395.3976679873</v>
      </c>
      <c r="AK64" s="104">
        <f>AK23+AK45+AK62</f>
        <v>2523523.779999977</v>
      </c>
      <c r="AL64" s="105"/>
      <c r="AM64" s="104">
        <f>AM23+AM45+AM62</f>
        <v>3127604.4499999993</v>
      </c>
      <c r="AN64" s="105"/>
      <c r="AO64" s="104">
        <f>AO23+AO45+AO62</f>
        <v>11634406.439999998</v>
      </c>
      <c r="AQ64" s="104">
        <f>AQ23+AQ45+AQ62</f>
        <v>2315487.4400000013</v>
      </c>
      <c r="AS64" s="104">
        <f>AS23+AS45+AS62</f>
        <v>-1019125.2799999993</v>
      </c>
      <c r="AT64" s="105"/>
      <c r="AU64" s="104">
        <f>AU23+AU45+AU62</f>
        <v>-3517963.2199999988</v>
      </c>
      <c r="AV64" s="105"/>
      <c r="AW64" s="104">
        <f>AW23+AW45+AW62</f>
        <v>9709099.1499999985</v>
      </c>
      <c r="AX64" s="105"/>
      <c r="AY64" s="104">
        <f>AY23+AY45+AY62</f>
        <v>3261005.8299999963</v>
      </c>
      <c r="BA64" s="104">
        <f>BA23+BA45+BA62</f>
        <v>-385572.89999999944</v>
      </c>
      <c r="BB64" s="105"/>
      <c r="BC64" s="104">
        <f>BC23+BC45+BC62</f>
        <v>9721044.4600000046</v>
      </c>
      <c r="BD64" s="105"/>
      <c r="BE64" s="104">
        <f>BE23+BE45+BE62</f>
        <v>25198955.25</v>
      </c>
      <c r="BF64" s="105"/>
      <c r="BG64" s="104">
        <f>BG23+BG45+BG62</f>
        <v>-2791246.5999999978</v>
      </c>
      <c r="BI64" s="104">
        <f>BI23+BI45+BI62</f>
        <v>-5953427.3899999913</v>
      </c>
      <c r="BJ64" s="105"/>
      <c r="BK64" s="104">
        <f>BK23+BK45+BK62</f>
        <v>-5816996.8141999617</v>
      </c>
      <c r="BL64" s="105"/>
      <c r="BM64" s="104">
        <f>BM23+BM45+BM62</f>
        <v>11433362.639999984</v>
      </c>
      <c r="BN64" s="105"/>
      <c r="BO64" s="104">
        <f>BO23+BO45+BO62</f>
        <v>-1935156.7868558071</v>
      </c>
      <c r="BQ64" s="104">
        <f>BQ23+BQ45+BQ62</f>
        <v>-5141967.579199994</v>
      </c>
      <c r="BR64" s="105"/>
      <c r="BS64" s="104">
        <f>BS23+BS45+BS62</f>
        <v>-5423405.0449999981</v>
      </c>
      <c r="BT64" s="105"/>
      <c r="BU64" s="104">
        <f>BU23+BU45+BU62</f>
        <v>-12022281.784999995</v>
      </c>
      <c r="BW64" s="104">
        <f>BW23+BW45+BW62</f>
        <v>-14708711.544999992</v>
      </c>
      <c r="BX64" s="105"/>
      <c r="BY64" s="104">
        <f>BY23+BY45+BY62</f>
        <v>-9368277.2249999996</v>
      </c>
      <c r="BZ64" s="105"/>
      <c r="CA64" s="104">
        <f>CA23+CA45+CA62</f>
        <v>-8735093.4850000069</v>
      </c>
      <c r="CB64" s="105"/>
      <c r="CC64" s="104">
        <f>CC23+CC45+CC62</f>
        <v>-10665174.175000016</v>
      </c>
      <c r="CE64" s="104">
        <f>CE23+CE45+CE62</f>
        <v>-16755321.549999997</v>
      </c>
      <c r="CF64" s="105"/>
      <c r="CG64" s="104">
        <v>-26559290.009999998</v>
      </c>
      <c r="CH64" s="105"/>
      <c r="CI64" s="104">
        <v>-16837922.959999997</v>
      </c>
      <c r="CJ64" s="105"/>
      <c r="CK64" s="104">
        <f>CK23+CK45+CK62</f>
        <v>-2117018.7200000104</v>
      </c>
      <c r="CL64" s="105"/>
      <c r="CM64" s="104">
        <f>CM23+CM45+CM62</f>
        <v>-21303285.989999995</v>
      </c>
      <c r="CN64" s="105"/>
      <c r="CO64" s="104">
        <f>CO23+CO45+CO62</f>
        <v>-15741962.94230001</v>
      </c>
      <c r="CP64" s="105"/>
      <c r="CQ64" s="104">
        <f>CQ23+CQ45+CQ62</f>
        <v>-14705167.436080461</v>
      </c>
      <c r="CR64" s="105"/>
      <c r="CS64" s="104">
        <f>CS23+CS45+CS62</f>
        <v>19930064.059999995</v>
      </c>
      <c r="CT64" s="105"/>
      <c r="CU64" s="104">
        <f>CU23+CU45+CU62</f>
        <v>-12508571.764375309</v>
      </c>
      <c r="CV64" s="105"/>
      <c r="CW64" s="104">
        <f>CW23+CW45+CW62</f>
        <v>-12285751.796175295</v>
      </c>
      <c r="CX64" s="105"/>
      <c r="CY64" s="104">
        <f>CY23+CY45+CY62</f>
        <v>-3709994.8499999945</v>
      </c>
      <c r="CZ64" s="105"/>
      <c r="DA64" s="104">
        <f>DA23+DA45+DA62</f>
        <v>16203412.231900001</v>
      </c>
      <c r="DB64" s="94"/>
      <c r="DC64" s="104"/>
      <c r="DD64" s="105"/>
      <c r="DE64" s="104"/>
      <c r="DF64" s="105"/>
      <c r="DG64" s="104"/>
      <c r="DH64" s="105"/>
      <c r="DI64" s="104">
        <f>DI23+DI45+DI62</f>
        <v>103165921.40929899</v>
      </c>
      <c r="DJ64" s="105"/>
      <c r="DK64" s="104">
        <f>DK23+DK45+DK62</f>
        <v>7666302.1985839773</v>
      </c>
      <c r="DL64" s="105"/>
      <c r="DM64" s="104">
        <f>DM23+DM45+DM62</f>
        <v>5036122.3856445998</v>
      </c>
      <c r="DN64" s="105"/>
      <c r="DO64" s="104">
        <f>DO23+DO45+DO62</f>
        <v>-102265412.42569658</v>
      </c>
      <c r="DP64" s="105"/>
      <c r="DQ64" s="104">
        <f>DQ23+DQ45+DQ62</f>
        <v>111231466.51813745</v>
      </c>
      <c r="DR64" s="105"/>
      <c r="DS64" s="104">
        <f>DS23+DS45+DS62</f>
        <v>41923161.147080556</v>
      </c>
      <c r="DT64" s="105"/>
      <c r="DU64" s="104">
        <f>DU23+DU45+DU62</f>
        <v>-5221310.401872959</v>
      </c>
      <c r="DV64" s="105"/>
      <c r="DW64" s="104">
        <f>DW23+DW45+DW62</f>
        <v>-3203775.8242550152</v>
      </c>
      <c r="DX64" s="105"/>
      <c r="DY64" s="104">
        <f>DY23+DY45+DY62</f>
        <v>19486575.138158001</v>
      </c>
      <c r="DZ64" s="105"/>
      <c r="EA64" s="104">
        <f>EA23+EA45+EA62</f>
        <v>-1471726.2268560147</v>
      </c>
      <c r="EB64" s="105"/>
      <c r="EC64" s="104">
        <f>EC23+EC45+EC62</f>
        <v>1983600.9921000125</v>
      </c>
      <c r="ED64" s="105"/>
      <c r="EE64" s="104">
        <f>EE23+EE45+EE62</f>
        <v>-23654886.703692</v>
      </c>
      <c r="EF64" s="105"/>
      <c r="EG64" s="104">
        <f>EG23+EG45+EG62</f>
        <v>14551155.209999993</v>
      </c>
      <c r="EH64" s="105"/>
      <c r="EI64" s="104">
        <f>EI23+EI45+EI62</f>
        <v>4878871.6176680047</v>
      </c>
      <c r="EJ64" s="105"/>
      <c r="EK64" s="104">
        <f>EK23+EK45+EK62</f>
        <v>-604080.67000001809</v>
      </c>
      <c r="EL64" s="105"/>
      <c r="EM64" s="104">
        <f>EM23+EM45+EM62</f>
        <v>-8506801.9900000002</v>
      </c>
      <c r="EN64" s="105"/>
      <c r="EO64" s="104">
        <f>EO23+EO45+EO62</f>
        <v>11634406.439999998</v>
      </c>
      <c r="EP64" s="105"/>
      <c r="EQ64" s="104">
        <f>AQ64-AS64</f>
        <v>3334612.7200000007</v>
      </c>
      <c r="ER64" s="105"/>
      <c r="ES64" s="104">
        <f>AS64-AU64</f>
        <v>2498837.9399999995</v>
      </c>
      <c r="ET64" s="105"/>
      <c r="EU64" s="104">
        <f>AU64-AW64</f>
        <v>-13227062.369999997</v>
      </c>
      <c r="EV64" s="105"/>
      <c r="EW64" s="104">
        <f t="shared" ref="EW64" si="125">AW64</f>
        <v>9709099.1499999985</v>
      </c>
      <c r="EX64" s="105"/>
      <c r="EY64" s="104">
        <f>AY64-BA64</f>
        <v>3646578.7299999958</v>
      </c>
      <c r="EZ64" s="105"/>
      <c r="FA64" s="104">
        <f>BA64-BC64</f>
        <v>-10106617.360000003</v>
      </c>
      <c r="FB64" s="105"/>
      <c r="FC64" s="104">
        <f>BC64-BE64</f>
        <v>-15477910.789999995</v>
      </c>
      <c r="FD64" s="105"/>
      <c r="FE64" s="104">
        <f t="shared" ref="FE64" si="126">BE64</f>
        <v>25198955.25</v>
      </c>
      <c r="FF64" s="105"/>
      <c r="FG64" s="104">
        <f>FG23+FG45+FG62</f>
        <v>3162180.7649999936</v>
      </c>
      <c r="FH64" s="105"/>
      <c r="FI64" s="104">
        <f>BI64-BK64</f>
        <v>-136430.57580002956</v>
      </c>
      <c r="FJ64" s="105"/>
      <c r="FK64" s="104">
        <f>BK64-BM64</f>
        <v>-17250359.454199947</v>
      </c>
      <c r="FL64" s="105"/>
      <c r="FM64" s="104">
        <f>BM64-BO64</f>
        <v>13368519.426855791</v>
      </c>
      <c r="FN64" s="105"/>
      <c r="FO64" s="104">
        <f>BO64-BQ64</f>
        <v>3206810.7923441869</v>
      </c>
      <c r="FP64" s="105"/>
      <c r="FQ64" s="104">
        <f>BQ64-BS64</f>
        <v>281437.46580000408</v>
      </c>
      <c r="FR64" s="105"/>
      <c r="FS64" s="104">
        <f>BS64</f>
        <v>-5423405.0449999981</v>
      </c>
      <c r="FT64" s="105"/>
      <c r="FU64" s="104">
        <f>BU64-BW64</f>
        <v>2686429.7599999979</v>
      </c>
      <c r="FV64" s="105"/>
      <c r="FW64" s="104">
        <f>BW64-BY64</f>
        <v>-5340434.3199999928</v>
      </c>
      <c r="FX64" s="105"/>
      <c r="FY64" s="104">
        <f>BY64-CA64</f>
        <v>-633183.73999999277</v>
      </c>
      <c r="FZ64" s="105"/>
      <c r="GA64" s="104">
        <f>CA64</f>
        <v>-8735093.4850000069</v>
      </c>
      <c r="GB64" s="105"/>
      <c r="GC64" s="104">
        <f>CC64-CE64</f>
        <v>6090147.3749999814</v>
      </c>
      <c r="GD64" s="105"/>
      <c r="GE64" s="104">
        <f>CE64-CG64</f>
        <v>9803968.4600000009</v>
      </c>
      <c r="GF64" s="105"/>
      <c r="GG64" s="104">
        <f>CG64-CI64</f>
        <v>-9721367.0500000007</v>
      </c>
      <c r="GH64" s="105"/>
      <c r="GI64" s="104">
        <f>CI64</f>
        <v>-16837922.959999997</v>
      </c>
      <c r="GJ64" s="105"/>
      <c r="GK64" s="104">
        <f>CK64-CM64</f>
        <v>19186267.269999985</v>
      </c>
      <c r="GL64" s="105"/>
      <c r="GM64" s="104">
        <f>CM64-CO64</f>
        <v>-5561323.0476999842</v>
      </c>
      <c r="GN64" s="105"/>
      <c r="GO64" s="104">
        <f>CO64-CQ64</f>
        <v>-1036795.5062195491</v>
      </c>
      <c r="GP64" s="105"/>
      <c r="GQ64" s="104">
        <f>CQ64</f>
        <v>-14705167.436080461</v>
      </c>
      <c r="GR64" s="105"/>
      <c r="GS64" s="104">
        <f>CS64-CU64</f>
        <v>32438635.824375302</v>
      </c>
      <c r="GT64" s="105"/>
      <c r="GU64" s="104">
        <f>CU64-CW64</f>
        <v>-222819.96820001304</v>
      </c>
    </row>
    <row r="65" spans="1:203">
      <c r="A65" s="98"/>
      <c r="C65" s="29"/>
      <c r="E65" s="29"/>
      <c r="G65" s="29"/>
      <c r="I65" s="29"/>
      <c r="K65" s="29"/>
      <c r="M65" s="29"/>
      <c r="O65" s="29"/>
      <c r="Q65" s="29"/>
      <c r="S65" s="29"/>
      <c r="U65" s="29"/>
      <c r="W65" s="29"/>
      <c r="Y65" s="29"/>
      <c r="AA65" s="29"/>
      <c r="AC65" s="29"/>
      <c r="AE65" s="29"/>
      <c r="AG65" s="29"/>
      <c r="AI65" s="29"/>
      <c r="AK65" s="29"/>
      <c r="AM65" s="29"/>
      <c r="AO65" s="29"/>
      <c r="AQ65" s="29"/>
      <c r="AS65" s="29"/>
      <c r="AU65" s="29"/>
      <c r="AW65" s="29"/>
      <c r="AY65" s="29"/>
      <c r="BA65" s="29"/>
      <c r="BC65" s="29"/>
      <c r="BE65" s="29"/>
      <c r="BG65" s="29"/>
      <c r="BI65" s="29"/>
      <c r="BK65" s="29"/>
      <c r="BM65" s="29"/>
      <c r="BO65" s="29"/>
      <c r="BQ65" s="118"/>
      <c r="BS65" s="29"/>
      <c r="BU65" s="29"/>
      <c r="BW65" s="29"/>
      <c r="BY65" s="29"/>
      <c r="CA65" s="29"/>
      <c r="CC65" s="29"/>
      <c r="CE65" s="29"/>
      <c r="CG65" s="29"/>
      <c r="CI65" s="29">
        <v>0</v>
      </c>
      <c r="CK65" s="29"/>
      <c r="CM65" s="29">
        <v>0</v>
      </c>
      <c r="CO65" s="29">
        <v>0</v>
      </c>
      <c r="CQ65" s="29">
        <v>0</v>
      </c>
      <c r="CS65" s="29">
        <v>0</v>
      </c>
      <c r="CU65" s="29">
        <v>0</v>
      </c>
      <c r="CW65" s="29">
        <v>0</v>
      </c>
      <c r="CY65" s="29"/>
      <c r="DA65" s="29"/>
      <c r="DG65" s="29"/>
      <c r="DI65" s="29"/>
      <c r="DO65" s="29"/>
      <c r="DQ65" s="29"/>
      <c r="DY65" s="29"/>
      <c r="EG65" s="29"/>
      <c r="EO65" s="29"/>
    </row>
    <row r="66" spans="1:203">
      <c r="A66" s="38" t="s">
        <v>136</v>
      </c>
      <c r="C66" s="29"/>
      <c r="E66" s="29"/>
      <c r="G66" s="29"/>
      <c r="I66" s="29">
        <f>K68</f>
        <v>84331669.11500001</v>
      </c>
      <c r="K66" s="29">
        <f>M66</f>
        <v>62663190.438330576</v>
      </c>
      <c r="M66" s="29">
        <f>O66</f>
        <v>62663190.438330576</v>
      </c>
      <c r="O66" s="29">
        <f>Q66</f>
        <v>62663190.438330576</v>
      </c>
      <c r="Q66" s="29">
        <f>S68</f>
        <v>62663190.438330576</v>
      </c>
      <c r="S66" s="29">
        <f>U66</f>
        <v>9678540.3792200014</v>
      </c>
      <c r="U66" s="29">
        <f>W66</f>
        <v>9678540.3792200014</v>
      </c>
      <c r="W66" s="29">
        <f>Y66</f>
        <v>9678540.3792200014</v>
      </c>
      <c r="Y66" s="29">
        <f>AA68</f>
        <v>9678540.3792200014</v>
      </c>
      <c r="AA66" s="29">
        <f>AC66</f>
        <v>18270397.10766799</v>
      </c>
      <c r="AC66" s="29">
        <f>AE66</f>
        <v>18270397.10766799</v>
      </c>
      <c r="AE66" s="29">
        <f>AG66</f>
        <v>18270397.10766799</v>
      </c>
      <c r="AG66" s="29">
        <f>AI68</f>
        <v>18270397.10766799</v>
      </c>
      <c r="AI66" s="29">
        <f>$AQ68</f>
        <v>10868001.710000001</v>
      </c>
      <c r="AK66" s="29">
        <f>$AQ68</f>
        <v>10868001.710000001</v>
      </c>
      <c r="AM66" s="29">
        <f>$AQ68</f>
        <v>10868001.710000001</v>
      </c>
      <c r="AO66" s="29">
        <f>$AQ68</f>
        <v>10868001.710000001</v>
      </c>
      <c r="AQ66" s="29">
        <f>AS66</f>
        <v>8552514.2699999996</v>
      </c>
      <c r="AS66" s="29">
        <f>AU66</f>
        <v>8552514.2699999996</v>
      </c>
      <c r="AU66" s="29">
        <f>AW66</f>
        <v>8552514.2699999996</v>
      </c>
      <c r="AW66" s="29">
        <f>AY68</f>
        <v>8552514.2699999996</v>
      </c>
      <c r="AY66" s="29">
        <f>BA66</f>
        <v>5291508.4400000023</v>
      </c>
      <c r="BA66" s="29">
        <f>BC66</f>
        <v>5291508.4400000023</v>
      </c>
      <c r="BC66" s="29">
        <f>BE66</f>
        <v>5291508.4400000023</v>
      </c>
      <c r="BE66" s="29">
        <f>BG68</f>
        <v>5291508.4400000023</v>
      </c>
      <c r="BG66" s="29">
        <v>8082755.04</v>
      </c>
      <c r="BI66" s="29">
        <f>$BU$68</f>
        <v>8082755.0399999898</v>
      </c>
      <c r="BK66" s="29">
        <f>$BU$68</f>
        <v>8082755.0399999898</v>
      </c>
      <c r="BM66" s="29">
        <f>$BU$68</f>
        <v>8082755.0399999898</v>
      </c>
      <c r="BO66" s="29">
        <f>$BU$68</f>
        <v>8082755.0399999898</v>
      </c>
      <c r="BQ66" s="29">
        <f>$BU$68</f>
        <v>8082755.0399999898</v>
      </c>
      <c r="BS66" s="29">
        <f>BU68</f>
        <v>8082755.0399999898</v>
      </c>
      <c r="BU66" s="29">
        <f>CC68</f>
        <v>20105036.824999984</v>
      </c>
      <c r="BW66" s="29">
        <v>20105036.82</v>
      </c>
      <c r="BY66" s="29">
        <f>CC68</f>
        <v>20105036.824999984</v>
      </c>
      <c r="CA66" s="29">
        <f>CC68</f>
        <v>20105036.824999984</v>
      </c>
      <c r="CC66" s="29">
        <v>30770211</v>
      </c>
      <c r="CE66" s="29">
        <v>30770211</v>
      </c>
      <c r="CG66" s="29">
        <v>30770211</v>
      </c>
      <c r="CI66" s="29">
        <v>30770211</v>
      </c>
      <c r="CK66" s="29">
        <f>CS68</f>
        <v>32887229.719999995</v>
      </c>
      <c r="CM66" s="29">
        <v>32887229.719999999</v>
      </c>
      <c r="CO66" s="29">
        <v>32887229.719999999</v>
      </c>
      <c r="CQ66" s="29">
        <v>32887229.719999995</v>
      </c>
      <c r="CS66" s="29">
        <v>12957165.66</v>
      </c>
      <c r="CU66" s="29">
        <v>12957165.66</v>
      </c>
      <c r="CW66" s="29">
        <v>12957165.66</v>
      </c>
      <c r="CY66" s="29">
        <v>16667160.509999998</v>
      </c>
      <c r="DA66" s="29">
        <v>463748.27999999997</v>
      </c>
      <c r="DC66" s="29"/>
      <c r="DD66" s="5"/>
      <c r="DE66" s="29"/>
      <c r="DF66" s="5"/>
      <c r="DG66" s="29"/>
      <c r="DH66" s="5"/>
      <c r="DI66" s="29">
        <f>DK68</f>
        <v>84331669.11500001</v>
      </c>
      <c r="DJ66" s="5"/>
      <c r="DK66" s="29">
        <f>DM68</f>
        <v>76665366.916416034</v>
      </c>
      <c r="DL66" s="5"/>
      <c r="DM66" s="29">
        <f>DO68</f>
        <v>71629244.530771434</v>
      </c>
      <c r="DN66" s="5"/>
      <c r="DO66" s="29">
        <f>DQ68</f>
        <v>173894656.95646802</v>
      </c>
      <c r="DP66" s="5"/>
      <c r="DQ66" s="29">
        <f>DS68</f>
        <v>62663190.438330553</v>
      </c>
      <c r="DR66" s="5"/>
      <c r="DS66" s="29">
        <f>DU68</f>
        <v>20740029.291249998</v>
      </c>
      <c r="DT66" s="5"/>
      <c r="DU66" s="29">
        <f>DW68</f>
        <v>25961339.693122957</v>
      </c>
      <c r="DV66" s="5"/>
      <c r="DW66" s="29">
        <f>DY68</f>
        <v>29165115.517377973</v>
      </c>
      <c r="DX66" s="5"/>
      <c r="DY66" s="29">
        <f>EA68</f>
        <v>9678540.3792199716</v>
      </c>
      <c r="DZ66" s="5"/>
      <c r="EA66" s="29">
        <f>EC68</f>
        <v>11150266.606075987</v>
      </c>
      <c r="EB66" s="5"/>
      <c r="EC66" s="29">
        <f>EE68</f>
        <v>9166665.6139759757</v>
      </c>
      <c r="ED66" s="5"/>
      <c r="EE66" s="29">
        <f>EG68</f>
        <v>32821552.317667976</v>
      </c>
      <c r="EF66" s="5"/>
      <c r="EG66" s="29">
        <f>EI68</f>
        <v>18270397.107667983</v>
      </c>
      <c r="EH66" s="5"/>
      <c r="EI66" s="29">
        <f>EK68</f>
        <v>13391525.48999998</v>
      </c>
      <c r="EJ66" s="5"/>
      <c r="EK66" s="29">
        <f>EM68</f>
        <v>13995606.159999998</v>
      </c>
      <c r="EL66" s="5"/>
      <c r="EM66" s="29">
        <f>EO68</f>
        <v>22502408.149999999</v>
      </c>
      <c r="EN66" s="5"/>
      <c r="EO66" s="29">
        <f>EQ68</f>
        <v>10868001.710000001</v>
      </c>
      <c r="EP66" s="5"/>
      <c r="EQ66" s="29">
        <f>AS68</f>
        <v>7533388.9900000002</v>
      </c>
      <c r="ER66" s="5"/>
      <c r="ES66" s="29">
        <f>AU68</f>
        <v>5034551.0500000007</v>
      </c>
      <c r="ET66" s="5"/>
      <c r="EU66" s="29">
        <f>AW68</f>
        <v>18261613.419999998</v>
      </c>
      <c r="EV66" s="5"/>
      <c r="EW66" s="29">
        <f t="shared" ref="EW66" si="127">AW66</f>
        <v>8552514.2699999996</v>
      </c>
      <c r="EX66" s="5"/>
      <c r="EY66" s="29">
        <f>BA68</f>
        <v>4905935.5400000028</v>
      </c>
      <c r="EZ66" s="5"/>
      <c r="FA66" s="29">
        <f>BC68</f>
        <v>15012552.900000006</v>
      </c>
      <c r="FB66" s="5"/>
      <c r="FC66" s="29">
        <f>BE68</f>
        <v>30490463.690000001</v>
      </c>
      <c r="FD66" s="5"/>
      <c r="FE66" s="29">
        <f t="shared" ref="FE66" si="128">BE66</f>
        <v>5291508.4400000023</v>
      </c>
      <c r="FF66" s="5"/>
      <c r="FG66" s="29">
        <f>BI68</f>
        <v>2129327.6499999985</v>
      </c>
      <c r="FH66" s="5"/>
      <c r="FI66" s="29">
        <f>BK68</f>
        <v>2265758.2258000281</v>
      </c>
      <c r="FJ66" s="5"/>
      <c r="FK66" s="29">
        <f>BM68</f>
        <v>19516117.679999974</v>
      </c>
      <c r="FL66" s="5"/>
      <c r="FM66" s="29">
        <f>BO68</f>
        <v>6147598.2531441823</v>
      </c>
      <c r="FN66" s="5"/>
      <c r="FO66" s="29">
        <f>BQ68</f>
        <v>2940787.4607999958</v>
      </c>
      <c r="FP66" s="5"/>
      <c r="FQ66" s="29">
        <f>BS68</f>
        <v>2659349.9949999917</v>
      </c>
      <c r="FR66" s="5"/>
      <c r="FS66" s="29">
        <f>BU68</f>
        <v>8082755.0399999898</v>
      </c>
      <c r="FT66" s="5"/>
      <c r="FU66" s="29">
        <f>BW68</f>
        <v>5396325.2750000078</v>
      </c>
      <c r="FV66" s="5"/>
      <c r="FW66" s="29">
        <f>BY68</f>
        <v>10736759.599999985</v>
      </c>
      <c r="FX66" s="5"/>
      <c r="FY66" s="29">
        <f>CA68</f>
        <v>11369943.339999977</v>
      </c>
      <c r="FZ66" s="5"/>
      <c r="GA66" s="29">
        <f>CC68</f>
        <v>20105036.824999984</v>
      </c>
      <c r="GB66" s="5"/>
      <c r="GC66" s="29">
        <f>CE68</f>
        <v>14014889.450000003</v>
      </c>
      <c r="GD66" s="5"/>
      <c r="GE66" s="29">
        <f>CG68</f>
        <v>4210920.9900000021</v>
      </c>
      <c r="GF66" s="5"/>
      <c r="GG66" s="29">
        <f>CI68</f>
        <v>13932288.040000003</v>
      </c>
      <c r="GH66" s="5"/>
      <c r="GI66" s="29">
        <f>CK68</f>
        <v>30770210.999999985</v>
      </c>
      <c r="GJ66" s="5"/>
      <c r="GK66" s="29">
        <f>CM68</f>
        <v>11583943.730000004</v>
      </c>
      <c r="GL66" s="5"/>
      <c r="GM66" s="29">
        <f>CO68</f>
        <v>17145266.777699988</v>
      </c>
      <c r="GN66" s="5"/>
      <c r="GO66" s="29">
        <f>CQ68</f>
        <v>18182062.283919536</v>
      </c>
      <c r="GP66" s="5"/>
      <c r="GQ66" s="29">
        <f>CS68</f>
        <v>32887229.719999995</v>
      </c>
      <c r="GR66" s="5"/>
      <c r="GS66" s="29">
        <f>CU68</f>
        <v>448593.89562469162</v>
      </c>
      <c r="GT66" s="5"/>
      <c r="GU66" s="29">
        <f>CW68</f>
        <v>671413.86382470466</v>
      </c>
    </row>
    <row r="67" spans="1:203">
      <c r="A67" s="38" t="s">
        <v>137</v>
      </c>
      <c r="C67" s="29"/>
      <c r="E67" s="29"/>
      <c r="G67" s="29"/>
      <c r="I67" s="29"/>
      <c r="K67" s="29"/>
      <c r="M67" s="29"/>
      <c r="O67" s="29"/>
      <c r="Q67" s="29"/>
      <c r="S67" s="29"/>
      <c r="U67" s="29"/>
      <c r="W67" s="29"/>
      <c r="Y67" s="29"/>
      <c r="AA67" s="29"/>
      <c r="AC67" s="29"/>
      <c r="AE67" s="29"/>
      <c r="AG67" s="29"/>
      <c r="AI67" s="29"/>
      <c r="AK67" s="29"/>
      <c r="AM67" s="29"/>
      <c r="AO67" s="29"/>
      <c r="AQ67" s="29"/>
      <c r="AS67" s="29"/>
      <c r="AU67" s="29"/>
      <c r="AW67" s="29"/>
      <c r="AY67" s="29"/>
      <c r="BA67" s="29"/>
      <c r="BC67" s="29"/>
      <c r="BE67" s="29"/>
      <c r="BG67" s="29"/>
      <c r="BI67" s="29"/>
      <c r="BK67" s="29"/>
      <c r="BM67" s="29"/>
      <c r="BO67" s="29"/>
      <c r="BQ67" s="29"/>
      <c r="BS67" s="29"/>
      <c r="BU67" s="29"/>
      <c r="BW67" s="29"/>
      <c r="BY67" s="29"/>
      <c r="CA67" s="29"/>
      <c r="CC67" s="29"/>
      <c r="CE67" s="29"/>
      <c r="CG67" s="29"/>
      <c r="CI67" s="29">
        <v>0</v>
      </c>
      <c r="CK67" s="29"/>
      <c r="CM67" s="29">
        <v>0</v>
      </c>
      <c r="CO67" s="29">
        <v>0</v>
      </c>
      <c r="CQ67" s="29">
        <v>0</v>
      </c>
      <c r="CS67" s="29">
        <v>0</v>
      </c>
      <c r="CU67" s="29">
        <v>0</v>
      </c>
      <c r="CW67" s="29">
        <v>0</v>
      </c>
      <c r="CY67" s="29"/>
      <c r="DA67" s="29"/>
      <c r="DG67" s="29"/>
      <c r="DI67" s="29"/>
      <c r="DO67" s="29"/>
      <c r="DQ67" s="29"/>
      <c r="DY67" s="29"/>
      <c r="EG67" s="29"/>
      <c r="EO67" s="29"/>
    </row>
    <row r="68" spans="1:203" s="39" customFormat="1" ht="13">
      <c r="A68" s="37" t="s">
        <v>138</v>
      </c>
      <c r="C68" s="104"/>
      <c r="E68" s="104"/>
      <c r="F68" s="105"/>
      <c r="G68" s="104"/>
      <c r="H68" s="105"/>
      <c r="I68" s="104">
        <f>I64+I66</f>
        <v>187497590.524299</v>
      </c>
      <c r="K68" s="104">
        <f>K64+K66</f>
        <v>84331669.11500001</v>
      </c>
      <c r="M68" s="104">
        <f>M64+M66</f>
        <v>76665366.916416034</v>
      </c>
      <c r="N68" s="105"/>
      <c r="O68" s="104">
        <f>O64+O66</f>
        <v>71629244.530771434</v>
      </c>
      <c r="P68" s="105"/>
      <c r="Q68" s="104">
        <f>Q64+Q66</f>
        <v>173894656.95646805</v>
      </c>
      <c r="S68" s="104">
        <f>S64+S66</f>
        <v>62663190.438330576</v>
      </c>
      <c r="U68" s="104">
        <f>U64+U66</f>
        <v>20740029.29125002</v>
      </c>
      <c r="V68" s="105"/>
      <c r="W68" s="104">
        <f>W64+W66</f>
        <v>25961339.693122979</v>
      </c>
      <c r="X68" s="105"/>
      <c r="Y68" s="104">
        <f>Y64+Y66</f>
        <v>29165115.517378002</v>
      </c>
      <c r="AA68" s="104">
        <f>AA64+AA66</f>
        <v>9678540.3792200014</v>
      </c>
      <c r="AC68" s="104">
        <f>AC64+AC66</f>
        <v>11150266.606076</v>
      </c>
      <c r="AD68" s="105"/>
      <c r="AE68" s="104">
        <f>AE64+AE66</f>
        <v>9166665.6139760017</v>
      </c>
      <c r="AF68" s="105"/>
      <c r="AG68" s="104">
        <f>AG64+AG66</f>
        <v>32821552.317667983</v>
      </c>
      <c r="AI68" s="104">
        <f>AI64+AI66</f>
        <v>18270397.10766799</v>
      </c>
      <c r="AK68" s="104">
        <f>AK64+AK66</f>
        <v>13391525.489999978</v>
      </c>
      <c r="AL68" s="105"/>
      <c r="AM68" s="104">
        <f>AM64+AM66</f>
        <v>13995606.16</v>
      </c>
      <c r="AN68" s="105"/>
      <c r="AO68" s="104">
        <f>AO64+AO66</f>
        <v>22502408.149999999</v>
      </c>
      <c r="AQ68" s="104">
        <f>AQ64+AQ66</f>
        <v>10868001.710000001</v>
      </c>
      <c r="AS68" s="104">
        <f>AS64+AS66</f>
        <v>7533388.9900000002</v>
      </c>
      <c r="AT68" s="105"/>
      <c r="AU68" s="104">
        <f>AU64+AU66</f>
        <v>5034551.0500000007</v>
      </c>
      <c r="AV68" s="105"/>
      <c r="AW68" s="104">
        <f>AW64+AW66</f>
        <v>18261613.419999998</v>
      </c>
      <c r="AX68" s="105"/>
      <c r="AY68" s="104">
        <f>AY64+AY66</f>
        <v>8552514.2699999996</v>
      </c>
      <c r="BA68" s="104">
        <f>BA64+BA66</f>
        <v>4905935.5400000028</v>
      </c>
      <c r="BB68" s="105"/>
      <c r="BC68" s="104">
        <f>BC64+BC66</f>
        <v>15012552.900000006</v>
      </c>
      <c r="BD68" s="105"/>
      <c r="BE68" s="104">
        <f>BE64+BE66</f>
        <v>30490463.690000001</v>
      </c>
      <c r="BF68" s="105"/>
      <c r="BG68" s="104">
        <f>BG64+BG66</f>
        <v>5291508.4400000023</v>
      </c>
      <c r="BI68" s="104">
        <f>BI64+BI66</f>
        <v>2129327.6499999985</v>
      </c>
      <c r="BJ68" s="105"/>
      <c r="BK68" s="104">
        <f>BK64+BK66</f>
        <v>2265758.2258000281</v>
      </c>
      <c r="BL68" s="105"/>
      <c r="BM68" s="104">
        <f>BM64+BM66</f>
        <v>19516117.679999974</v>
      </c>
      <c r="BN68" s="105"/>
      <c r="BO68" s="104">
        <f>BO64+BO66</f>
        <v>6147598.2531441823</v>
      </c>
      <c r="BQ68" s="104">
        <f>BQ64+BQ66</f>
        <v>2940787.4607999958</v>
      </c>
      <c r="BR68" s="105"/>
      <c r="BS68" s="104">
        <f>BS64+BS66</f>
        <v>2659349.9949999917</v>
      </c>
      <c r="BT68" s="105"/>
      <c r="BU68" s="104">
        <f>BU64+BU66</f>
        <v>8082755.0399999898</v>
      </c>
      <c r="BW68" s="104">
        <f>BW64+BW66</f>
        <v>5396325.2750000078</v>
      </c>
      <c r="BX68" s="105"/>
      <c r="BY68" s="104">
        <f>BY64+BY66</f>
        <v>10736759.599999985</v>
      </c>
      <c r="BZ68" s="105"/>
      <c r="CA68" s="104">
        <f>CA64+CA66</f>
        <v>11369943.339999977</v>
      </c>
      <c r="CB68" s="105"/>
      <c r="CC68" s="104">
        <f>CC64+CC66</f>
        <v>20105036.824999984</v>
      </c>
      <c r="CE68" s="104">
        <f>CE64+CE66</f>
        <v>14014889.450000003</v>
      </c>
      <c r="CF68" s="105"/>
      <c r="CG68" s="104">
        <v>4210920.9900000021</v>
      </c>
      <c r="CH68" s="105"/>
      <c r="CI68" s="104">
        <v>13932288.040000003</v>
      </c>
      <c r="CJ68" s="105"/>
      <c r="CK68" s="104">
        <f>SUM(CK64:CK67)</f>
        <v>30770210.999999985</v>
      </c>
      <c r="CL68" s="105"/>
      <c r="CM68" s="104">
        <f>SUM(CM64:CM67)</f>
        <v>11583943.730000004</v>
      </c>
      <c r="CN68" s="105"/>
      <c r="CO68" s="104">
        <f>SUM(CO64:CO67)</f>
        <v>17145266.777699988</v>
      </c>
      <c r="CP68" s="105"/>
      <c r="CQ68" s="104">
        <f>SUM(CQ64:CQ67)</f>
        <v>18182062.283919536</v>
      </c>
      <c r="CR68" s="105"/>
      <c r="CS68" s="104">
        <f>SUM(CS64:CS67)</f>
        <v>32887229.719999995</v>
      </c>
      <c r="CT68" s="105"/>
      <c r="CU68" s="104">
        <f>SUM(CU64:CU67)</f>
        <v>448593.89562469162</v>
      </c>
      <c r="CV68" s="105"/>
      <c r="CW68" s="104">
        <f>SUM(CW64:CW67)</f>
        <v>671413.86382470466</v>
      </c>
      <c r="CX68" s="105"/>
      <c r="CY68" s="104">
        <f>SUM(CY64:CY67)</f>
        <v>12957165.660000004</v>
      </c>
      <c r="CZ68" s="105"/>
      <c r="DA68" s="104">
        <f>SUM(DA64:DA67)</f>
        <v>16667160.5119</v>
      </c>
      <c r="DB68" s="94"/>
      <c r="DC68" s="104"/>
      <c r="DD68" s="105"/>
      <c r="DE68" s="104"/>
      <c r="DF68" s="105"/>
      <c r="DG68" s="104"/>
      <c r="DH68" s="105"/>
      <c r="DI68" s="104">
        <f>DI64+DI66</f>
        <v>187497590.524299</v>
      </c>
      <c r="DJ68" s="105"/>
      <c r="DK68" s="104">
        <f>DK64+DK66</f>
        <v>84331669.11500001</v>
      </c>
      <c r="DL68" s="105"/>
      <c r="DM68" s="104">
        <f>DM64+DM66</f>
        <v>76665366.916416034</v>
      </c>
      <c r="DN68" s="105"/>
      <c r="DO68" s="104">
        <f>DO64+DO66</f>
        <v>71629244.530771434</v>
      </c>
      <c r="DP68" s="105"/>
      <c r="DQ68" s="104">
        <f>DQ64+DQ66</f>
        <v>173894656.95646802</v>
      </c>
      <c r="DR68" s="105"/>
      <c r="DS68" s="104">
        <f>DS64+DS66</f>
        <v>62663190.438330553</v>
      </c>
      <c r="DT68" s="105"/>
      <c r="DU68" s="104">
        <f>DU64+DU66</f>
        <v>20740029.291249998</v>
      </c>
      <c r="DV68" s="105"/>
      <c r="DW68" s="104">
        <f>DW64+DW66</f>
        <v>25961339.693122957</v>
      </c>
      <c r="DX68" s="105"/>
      <c r="DY68" s="104">
        <f>DY64+DY66</f>
        <v>29165115.517377973</v>
      </c>
      <c r="DZ68" s="105"/>
      <c r="EA68" s="104">
        <f>EA64+EA66</f>
        <v>9678540.3792199716</v>
      </c>
      <c r="EB68" s="105"/>
      <c r="EC68" s="104">
        <f>EC64+EC66</f>
        <v>11150266.606075987</v>
      </c>
      <c r="ED68" s="105"/>
      <c r="EE68" s="104">
        <f>EE64+EE66</f>
        <v>9166665.6139759757</v>
      </c>
      <c r="EF68" s="105"/>
      <c r="EG68" s="104">
        <f>EG64+EG66</f>
        <v>32821552.317667976</v>
      </c>
      <c r="EH68" s="105"/>
      <c r="EI68" s="104">
        <f>EI64+EI66</f>
        <v>18270397.107667983</v>
      </c>
      <c r="EJ68" s="105"/>
      <c r="EK68" s="104">
        <f>EK64+EK66</f>
        <v>13391525.48999998</v>
      </c>
      <c r="EL68" s="105"/>
      <c r="EM68" s="104">
        <f>EM64+EM66</f>
        <v>13995606.159999998</v>
      </c>
      <c r="EN68" s="105"/>
      <c r="EO68" s="104">
        <f>EO64+EO66</f>
        <v>22502408.149999999</v>
      </c>
      <c r="EP68" s="105"/>
      <c r="EQ68" s="104">
        <f>EQ64+EQ66</f>
        <v>10868001.710000001</v>
      </c>
      <c r="ER68" s="105"/>
      <c r="ES68" s="104">
        <f>ES64+ES66</f>
        <v>7533388.9900000002</v>
      </c>
      <c r="ET68" s="105"/>
      <c r="EU68" s="104">
        <f>EU64+EU66</f>
        <v>5034551.0500000007</v>
      </c>
      <c r="EV68" s="105"/>
      <c r="EW68" s="104">
        <f>EW64+EW66</f>
        <v>18261613.419999998</v>
      </c>
      <c r="EX68" s="105"/>
      <c r="EY68" s="104">
        <f>EY64+EY66</f>
        <v>8552514.2699999996</v>
      </c>
      <c r="EZ68" s="105"/>
      <c r="FA68" s="104">
        <f>FA64+FA66</f>
        <v>4905935.5400000028</v>
      </c>
      <c r="FB68" s="105"/>
      <c r="FC68" s="104">
        <f>FC64+FC66</f>
        <v>15012552.900000006</v>
      </c>
      <c r="FD68" s="105"/>
      <c r="FE68" s="104">
        <f>FE64+FE66</f>
        <v>30490463.690000001</v>
      </c>
      <c r="FF68" s="105"/>
      <c r="FG68" s="104">
        <f>FG64+FG66</f>
        <v>5291508.4149999917</v>
      </c>
      <c r="FH68" s="105"/>
      <c r="FI68" s="104">
        <f>FI64+FI66</f>
        <v>2129327.6499999985</v>
      </c>
      <c r="FJ68" s="105"/>
      <c r="FK68" s="104">
        <f>FK64+FK66</f>
        <v>2265758.2258000262</v>
      </c>
      <c r="FL68" s="105"/>
      <c r="FM68" s="104">
        <f>FM64+FM66</f>
        <v>19516117.679999974</v>
      </c>
      <c r="FN68" s="105"/>
      <c r="FO68" s="104">
        <f>FO64+FO66</f>
        <v>6147598.2531441823</v>
      </c>
      <c r="FP68" s="105"/>
      <c r="FQ68" s="104">
        <f>FQ64+FQ66</f>
        <v>2940787.4607999958</v>
      </c>
      <c r="FR68" s="105"/>
      <c r="FS68" s="104">
        <f>FS64+FS66</f>
        <v>2659349.9949999917</v>
      </c>
      <c r="FT68" s="105"/>
      <c r="FU68" s="104">
        <f>FU64+FU66</f>
        <v>8082755.0350000057</v>
      </c>
      <c r="FV68" s="105"/>
      <c r="FW68" s="104">
        <f>FW64+FW66</f>
        <v>5396325.2799999919</v>
      </c>
      <c r="FX68" s="105"/>
      <c r="FY68" s="104">
        <f>FY64+FY66</f>
        <v>10736759.599999985</v>
      </c>
      <c r="FZ68" s="105"/>
      <c r="GA68" s="104">
        <f>GA64+GA66</f>
        <v>11369943.339999977</v>
      </c>
      <c r="GB68" s="105"/>
      <c r="GC68" s="104">
        <f>GC64+GC66</f>
        <v>20105036.824999984</v>
      </c>
      <c r="GD68" s="105"/>
      <c r="GE68" s="104">
        <f>GE64+GE66</f>
        <v>14014889.450000003</v>
      </c>
      <c r="GF68" s="105"/>
      <c r="GG68" s="104">
        <f>GG64+GG66</f>
        <v>4210920.9900000021</v>
      </c>
      <c r="GH68" s="105"/>
      <c r="GI68" s="104">
        <f>GI64+GI66</f>
        <v>13932288.039999988</v>
      </c>
      <c r="GJ68" s="105"/>
      <c r="GK68" s="104">
        <f>GK64+GK66</f>
        <v>30770210.999999989</v>
      </c>
      <c r="GL68" s="105"/>
      <c r="GM68" s="104">
        <f>GM64+GM66</f>
        <v>11583943.730000004</v>
      </c>
      <c r="GN68" s="105"/>
      <c r="GO68" s="104">
        <f>GO64+GO66</f>
        <v>17145266.777699985</v>
      </c>
      <c r="GP68" s="105"/>
      <c r="GQ68" s="104">
        <f>GQ64+GQ66</f>
        <v>18182062.283919536</v>
      </c>
      <c r="GR68" s="105"/>
      <c r="GS68" s="104">
        <f>GS64+GS66</f>
        <v>32887229.719999991</v>
      </c>
      <c r="GT68" s="105"/>
      <c r="GU68" s="104">
        <f>GU64+GU66</f>
        <v>448593.89562469162</v>
      </c>
    </row>
    <row r="69" spans="1:203">
      <c r="A69" s="99"/>
      <c r="BQ69" s="117"/>
    </row>
    <row r="70" spans="1:203">
      <c r="C70" s="136"/>
      <c r="E70" s="136"/>
      <c r="G70" s="136"/>
      <c r="I70" s="136">
        <f>I68-'Bilans Skonsol'!J35</f>
        <v>0</v>
      </c>
      <c r="K70" s="136">
        <f>K68-'Bilans Skonsol'!L35</f>
        <v>0</v>
      </c>
      <c r="M70" s="136">
        <f>M68-'Bilans Skonsol'!N35</f>
        <v>0</v>
      </c>
      <c r="O70" s="136">
        <f>O68-'Bilans Skonsol'!P35</f>
        <v>-3.7285685539245605E-3</v>
      </c>
      <c r="Q70" s="136">
        <f>Q68-'Bilans Skonsol'!R35</f>
        <v>0</v>
      </c>
      <c r="S70" s="136">
        <f>S68-'Bilans Skonsol'!T35</f>
        <v>-3.6944374442100525E-3</v>
      </c>
      <c r="U70" s="136">
        <f>U68-'Bilans Skonsol'!V35</f>
        <v>0</v>
      </c>
      <c r="W70" s="136">
        <f>W68-'Bilans Skonsol'!X35</f>
        <v>0</v>
      </c>
      <c r="Y70" s="136">
        <f>Y68-'Bilans Skonsol'!Z35</f>
        <v>0</v>
      </c>
      <c r="AA70" s="136">
        <f>AA68-'Bilans Skonsol'!AB35</f>
        <v>0</v>
      </c>
      <c r="AC70" s="136">
        <f>AC68-'Bilans Skonsol'!AD35</f>
        <v>0</v>
      </c>
      <c r="AE70" s="136">
        <f>AE68-'Bilans Skonsol'!AF35</f>
        <v>0</v>
      </c>
      <c r="AG70" s="136">
        <f>AG68-'Bilans Skonsol'!AH35</f>
        <v>-2.3320168256759644E-3</v>
      </c>
      <c r="AI70" s="136">
        <f>AI68-'Bilans Skonsol'!AJ35</f>
        <v>-2.3320131003856659E-3</v>
      </c>
      <c r="AK70" s="136">
        <f>AK68-'Bilans Skonsol'!AL35</f>
        <v>-2.2351741790771484E-8</v>
      </c>
      <c r="AM70" s="136">
        <f>AM68-'Bilans Skonsol'!AN35</f>
        <v>0</v>
      </c>
      <c r="AO70" s="136">
        <f>AO68-'Bilans Skonsol'!AP35</f>
        <v>0</v>
      </c>
      <c r="AQ70" s="136">
        <f>AQ68-'Bilans Skonsol'!AR35</f>
        <v>0</v>
      </c>
      <c r="AS70" s="136">
        <f>AS68-'Bilans Skonsol'!AT35</f>
        <v>0</v>
      </c>
      <c r="AU70" s="136">
        <f>AU68-'Bilans Skonsol'!AV35</f>
        <v>0</v>
      </c>
      <c r="AW70" s="136">
        <f>AW68-'Bilans Skonsol'!AX35</f>
        <v>0</v>
      </c>
      <c r="AY70" s="136">
        <f>AY68-'Bilans Skonsol'!AZ35</f>
        <v>0</v>
      </c>
      <c r="BA70" s="136">
        <f>BA68-'Bilans Skonsol'!BB35</f>
        <v>0</v>
      </c>
      <c r="BC70" s="136">
        <f>BC68-'Bilans Skonsol'!BD35</f>
        <v>0</v>
      </c>
      <c r="BE70" s="136">
        <f>BE68-'Bilans Skonsol'!BF35</f>
        <v>0</v>
      </c>
      <c r="BG70" s="136">
        <f>BG68-'Bilans Skonsol'!BH35</f>
        <v>0</v>
      </c>
      <c r="BI70" s="136">
        <f>BI68-'Bilans Skonsol'!BJ35</f>
        <v>5.9999998193234205E-2</v>
      </c>
      <c r="BK70" s="136">
        <f>BK68-'Bilans Skonsol'!BL35</f>
        <v>-4.1999719105660915E-3</v>
      </c>
      <c r="BM70" s="136">
        <f>BM68-'Bilans Skonsol'!BN35</f>
        <v>0</v>
      </c>
      <c r="BO70" s="29">
        <f>BO68-'Bilans Skonsol'!BP35</f>
        <v>3.1441822648048401E-3</v>
      </c>
      <c r="BP70" s="118"/>
      <c r="BQ70" s="29">
        <f>BQ68-'Bilans Skonsol'!BR35</f>
        <v>7.9999584704637527E-4</v>
      </c>
      <c r="BR70" s="118"/>
      <c r="BS70" s="118">
        <f>BS68-'Bilans Skonsol'!BT35</f>
        <v>4.9999915063381195E-3</v>
      </c>
      <c r="BT70" s="118"/>
      <c r="BU70" s="118">
        <f>BU68-'Bilans Skonsol'!BV35</f>
        <v>-1.0244548320770264E-8</v>
      </c>
      <c r="BV70" s="118"/>
      <c r="BW70" s="118"/>
      <c r="BY70" s="29">
        <f>BY68-'Bilans Skonsol'!BZ35</f>
        <v>-1.4901161193847656E-8</v>
      </c>
      <c r="CA70" s="29">
        <f>CA68-'Bilans Skonsol'!CB35</f>
        <v>-2.2351741790771484E-8</v>
      </c>
      <c r="CC70" s="29">
        <f>CC68-'Bilans Skonsol'!CD35</f>
        <v>4.9999840557575226E-3</v>
      </c>
      <c r="CE70" s="29">
        <f>CE68-'Bilans Skonsol'!CF35</f>
        <v>0</v>
      </c>
      <c r="CG70" s="29">
        <f>CG68-'Bilans Skonsol'!CH35</f>
        <v>0</v>
      </c>
      <c r="CI70" s="29">
        <f>CI68-'Bilans Skonsol'!CJ35</f>
        <v>0</v>
      </c>
      <c r="CK70" s="29">
        <f>CK68-'Bilans Skonsol'!CL35</f>
        <v>0</v>
      </c>
      <c r="CM70" s="29">
        <f>CM68-'Bilans Skonsol'!CN35</f>
        <v>0</v>
      </c>
      <c r="CO70" s="29">
        <f>CO68-'Bilans Skonsol'!CP35</f>
        <v>-2.3000128567218781E-3</v>
      </c>
      <c r="CQ70" s="29">
        <f>CQ68-'Bilans Skonsol'!CR35</f>
        <v>3.9195381104946136E-3</v>
      </c>
      <c r="CS70" s="29">
        <f>CS68-'Bilans Skonsol'!CT35</f>
        <v>0</v>
      </c>
      <c r="CU70" s="29">
        <f>CU68-'Bilans Skonsol'!CV35</f>
        <v>5.6246916064992547E-3</v>
      </c>
      <c r="CW70" s="29">
        <f>CW68-'Bilans Skonsol'!CX35</f>
        <v>3.8247046759352088E-3</v>
      </c>
      <c r="CY70" s="29">
        <f>CY68-'Bilans Skonsol'!CZ35</f>
        <v>0</v>
      </c>
      <c r="DA70" s="29">
        <f>DA68-'Bilans Skonsol'!DB35</f>
        <v>1.9000023603439331E-3</v>
      </c>
      <c r="DC70" s="116"/>
      <c r="DD70" s="29"/>
      <c r="DE70" s="116"/>
      <c r="DF70" s="29"/>
      <c r="DG70" s="116"/>
      <c r="DH70" s="29"/>
      <c r="DI70" s="116">
        <f>DI68-I68</f>
        <v>0</v>
      </c>
      <c r="DJ70" s="29"/>
      <c r="DK70" s="116">
        <f>DK68-K68</f>
        <v>0</v>
      </c>
      <c r="DL70" s="29"/>
      <c r="DM70" s="116">
        <f>DM68-M68</f>
        <v>0</v>
      </c>
      <c r="DN70" s="29"/>
      <c r="DO70" s="116">
        <f>DO68-O68</f>
        <v>0</v>
      </c>
      <c r="DP70" s="29"/>
      <c r="DQ70" s="116">
        <f>DQ68-Q68</f>
        <v>0</v>
      </c>
      <c r="DR70" s="29"/>
      <c r="DS70" s="116">
        <f>DS68-S68</f>
        <v>0</v>
      </c>
      <c r="DT70" s="29"/>
      <c r="DU70" s="116">
        <f>DU68-U68</f>
        <v>0</v>
      </c>
      <c r="DV70" s="29"/>
      <c r="DW70" s="116">
        <f>DW68-W68</f>
        <v>0</v>
      </c>
      <c r="DX70" s="29"/>
      <c r="DY70" s="116">
        <f>DY68-Y68</f>
        <v>-2.9802322387695313E-8</v>
      </c>
      <c r="DZ70" s="29"/>
      <c r="EA70" s="116">
        <f>EA68-AA68</f>
        <v>-2.9802322387695313E-8</v>
      </c>
      <c r="EB70" s="29"/>
      <c r="EC70" s="116">
        <f>EC68-AC68</f>
        <v>0</v>
      </c>
      <c r="ED70" s="29"/>
      <c r="EE70" s="116">
        <f>EE68-AE68</f>
        <v>-2.6077032089233398E-8</v>
      </c>
      <c r="EF70" s="29"/>
      <c r="EG70" s="116">
        <f>EG68-AG68</f>
        <v>0</v>
      </c>
      <c r="EH70" s="29"/>
      <c r="EI70" s="116">
        <f>EI68-AI68</f>
        <v>0</v>
      </c>
      <c r="EJ70" s="29"/>
      <c r="EK70" s="116">
        <f>EK68-AK68</f>
        <v>0</v>
      </c>
      <c r="EL70" s="29"/>
      <c r="EM70" s="116">
        <f>EM68-AM68</f>
        <v>0</v>
      </c>
      <c r="EN70" s="29"/>
      <c r="EO70" s="116">
        <f>EO68-AO68</f>
        <v>0</v>
      </c>
      <c r="EP70" s="29"/>
      <c r="EQ70" s="116">
        <f>EQ68-AQ68</f>
        <v>0</v>
      </c>
      <c r="ER70" s="29"/>
      <c r="ES70" s="116">
        <f>ES68-AS68</f>
        <v>0</v>
      </c>
      <c r="ET70" s="29"/>
      <c r="EU70" s="116">
        <f>EU68-AU68</f>
        <v>0</v>
      </c>
      <c r="EV70" s="29"/>
      <c r="EW70" s="116">
        <f>EW68-AW68</f>
        <v>0</v>
      </c>
      <c r="EX70" s="29"/>
      <c r="EY70" s="116">
        <f>EY68-AY68</f>
        <v>0</v>
      </c>
      <c r="EZ70" s="29"/>
      <c r="FA70" s="116">
        <f>FA68-BA68</f>
        <v>0</v>
      </c>
      <c r="FB70" s="29"/>
      <c r="FC70" s="116">
        <f>FC68-BC68</f>
        <v>0</v>
      </c>
      <c r="FD70" s="29"/>
      <c r="FE70" s="116">
        <f>FE68-BE68</f>
        <v>0</v>
      </c>
      <c r="FF70" s="29"/>
      <c r="FG70" s="118">
        <f>FG68-BG68</f>
        <v>-2.5000010617077351E-2</v>
      </c>
      <c r="FH70" s="29"/>
      <c r="FI70" s="29">
        <f>FI68-BI68</f>
        <v>0</v>
      </c>
      <c r="FJ70" s="29"/>
      <c r="FK70" s="29">
        <f>FK68-BK68</f>
        <v>0</v>
      </c>
      <c r="FL70" s="29"/>
      <c r="FM70" s="29">
        <f>FM68-BM68</f>
        <v>0</v>
      </c>
      <c r="FN70" s="29"/>
      <c r="FO70" s="29">
        <f>FO68-BO68</f>
        <v>0</v>
      </c>
      <c r="FP70" s="29"/>
      <c r="FQ70" s="29">
        <f>FQ68-BQ68</f>
        <v>0</v>
      </c>
      <c r="FR70" s="29"/>
      <c r="FS70" s="29">
        <f>FS68-BS68</f>
        <v>0</v>
      </c>
      <c r="FT70" s="29"/>
      <c r="FU70" s="29">
        <f>FU68-BU68</f>
        <v>-4.9999840557575226E-3</v>
      </c>
      <c r="FV70" s="29"/>
      <c r="FW70" s="29">
        <f>FW68-BW68</f>
        <v>4.9999840557575226E-3</v>
      </c>
      <c r="FX70" s="29"/>
      <c r="FY70" s="29">
        <f>FY68-BY68</f>
        <v>0</v>
      </c>
      <c r="FZ70" s="29"/>
      <c r="GA70" s="29">
        <f>GA68-CA68</f>
        <v>0</v>
      </c>
      <c r="GB70" s="29"/>
      <c r="GC70" s="29">
        <f>GC68-CC68</f>
        <v>0</v>
      </c>
      <c r="GD70" s="29"/>
      <c r="GE70" s="29">
        <f>GE68-CE68</f>
        <v>0</v>
      </c>
      <c r="GF70" s="29"/>
      <c r="GG70" s="29">
        <f>GG68-CG68</f>
        <v>0</v>
      </c>
      <c r="GH70" s="29"/>
      <c r="GI70" s="29">
        <f>GI68-CI68</f>
        <v>-1.4901161193847656E-8</v>
      </c>
      <c r="GJ70" s="29"/>
      <c r="GK70" s="29">
        <f>GK68-CK68</f>
        <v>0</v>
      </c>
      <c r="GL70" s="29"/>
      <c r="GM70" s="29">
        <f>GM68-CM68</f>
        <v>0</v>
      </c>
      <c r="GN70" s="29"/>
      <c r="GO70" s="29">
        <f>GO68-CO68</f>
        <v>0</v>
      </c>
      <c r="GP70" s="29"/>
      <c r="GQ70" s="29">
        <f>GQ68-CQ68</f>
        <v>0</v>
      </c>
      <c r="GR70" s="29"/>
      <c r="GS70" s="29">
        <f>GS68-CS68</f>
        <v>0</v>
      </c>
      <c r="GT70" s="29"/>
      <c r="GU70" s="29">
        <f>GU68-CU68</f>
        <v>0</v>
      </c>
    </row>
    <row r="71" spans="1:203">
      <c r="GQ71" s="40"/>
    </row>
    <row r="72" spans="1:203">
      <c r="BQ72" s="115"/>
      <c r="CQ72" s="29"/>
      <c r="EQ72" s="40"/>
    </row>
    <row r="73" spans="1:203">
      <c r="C73" s="175"/>
      <c r="E73" s="40"/>
      <c r="G73" s="136"/>
      <c r="I73" s="40"/>
      <c r="K73" s="175"/>
      <c r="M73" s="40"/>
      <c r="O73" s="136"/>
      <c r="Q73" s="40"/>
      <c r="S73" s="175"/>
      <c r="U73" s="40"/>
      <c r="W73" s="136"/>
      <c r="Y73" s="40"/>
      <c r="AA73" s="175"/>
      <c r="AE73" s="136"/>
      <c r="AI73" s="175"/>
    </row>
    <row r="74" spans="1:203">
      <c r="I74" s="40"/>
      <c r="Q74" s="40"/>
      <c r="Y74" s="40"/>
      <c r="AG74" s="40"/>
    </row>
    <row r="88" spans="1:203" s="16" customFormat="1" ht="9.5">
      <c r="A88" s="123"/>
      <c r="DB88" s="124"/>
    </row>
    <row r="89" spans="1:203" s="16" customFormat="1" ht="9.5">
      <c r="A89" s="123"/>
      <c r="BQ89" s="125"/>
      <c r="BR89" s="125"/>
      <c r="BS89" s="125"/>
      <c r="BT89" s="125"/>
      <c r="BU89" s="125"/>
      <c r="BV89" s="125"/>
      <c r="BW89" s="125"/>
      <c r="BX89" s="125"/>
      <c r="BY89" s="125"/>
      <c r="BZ89" s="125"/>
      <c r="CA89" s="125"/>
      <c r="CB89" s="125"/>
      <c r="CC89" s="125"/>
      <c r="CD89" s="125"/>
      <c r="CE89" s="125"/>
      <c r="CF89" s="125"/>
      <c r="CG89" s="125"/>
      <c r="CH89" s="125"/>
      <c r="CI89" s="125"/>
      <c r="CJ89" s="125"/>
      <c r="CK89" s="125"/>
      <c r="CL89" s="125"/>
      <c r="CM89" s="125"/>
      <c r="CN89" s="125"/>
      <c r="CO89" s="125"/>
      <c r="CP89" s="125"/>
      <c r="CQ89" s="125"/>
      <c r="CR89" s="125"/>
      <c r="CS89" s="125"/>
      <c r="CT89" s="125"/>
      <c r="CU89" s="125"/>
      <c r="CV89" s="125"/>
      <c r="CW89" s="125"/>
      <c r="CX89" s="125"/>
      <c r="CY89" s="125"/>
      <c r="CZ89" s="125"/>
      <c r="DA89" s="125"/>
      <c r="DB89" s="125"/>
      <c r="DC89" s="125"/>
      <c r="DD89" s="125"/>
      <c r="DE89" s="125"/>
      <c r="DF89" s="125"/>
      <c r="DG89" s="125"/>
      <c r="DH89" s="125"/>
      <c r="DI89" s="125"/>
      <c r="DJ89" s="125"/>
      <c r="DK89" s="125"/>
      <c r="DL89" s="125"/>
      <c r="DM89" s="125"/>
      <c r="DN89" s="125"/>
      <c r="DO89" s="125"/>
      <c r="DP89" s="125"/>
      <c r="DQ89" s="125"/>
      <c r="DR89" s="125"/>
      <c r="DS89" s="125"/>
      <c r="DT89" s="125"/>
      <c r="DU89" s="125"/>
      <c r="DV89" s="125"/>
      <c r="DW89" s="125"/>
      <c r="DX89" s="125"/>
      <c r="DY89" s="125"/>
      <c r="DZ89" s="125"/>
      <c r="EA89" s="125"/>
      <c r="EB89" s="125"/>
      <c r="EC89" s="125"/>
      <c r="ED89" s="125"/>
      <c r="EE89" s="125"/>
      <c r="EF89" s="125"/>
      <c r="EG89" s="125"/>
      <c r="EH89" s="125"/>
      <c r="EI89" s="125"/>
      <c r="EJ89" s="125"/>
      <c r="EK89" s="125"/>
      <c r="EL89" s="125"/>
      <c r="EM89" s="125"/>
      <c r="EN89" s="125"/>
      <c r="EO89" s="125"/>
      <c r="EP89" s="125"/>
      <c r="EQ89" s="125"/>
      <c r="ER89" s="125"/>
      <c r="ES89" s="125"/>
      <c r="ET89" s="125"/>
      <c r="EU89" s="125"/>
      <c r="EV89" s="125"/>
      <c r="EW89" s="125"/>
      <c r="EX89" s="125"/>
      <c r="EY89" s="125"/>
      <c r="EZ89" s="125"/>
      <c r="FA89" s="125"/>
      <c r="FB89" s="125"/>
      <c r="FC89" s="125"/>
      <c r="FD89" s="125"/>
      <c r="FE89" s="125"/>
      <c r="FF89" s="125"/>
      <c r="FG89" s="125"/>
      <c r="FH89" s="125"/>
      <c r="FI89" s="125"/>
      <c r="FJ89" s="125"/>
      <c r="FK89" s="125"/>
      <c r="FL89" s="125"/>
      <c r="FM89" s="125"/>
      <c r="FN89" s="125"/>
      <c r="FO89" s="125"/>
      <c r="FP89" s="125"/>
      <c r="FQ89" s="125"/>
      <c r="FR89" s="125"/>
      <c r="FS89" s="125"/>
      <c r="FT89" s="125"/>
      <c r="FU89" s="125"/>
      <c r="FV89" s="125"/>
      <c r="FW89" s="125"/>
      <c r="FX89" s="125"/>
      <c r="FY89" s="125"/>
      <c r="FZ89" s="125"/>
      <c r="GA89" s="125"/>
      <c r="GB89" s="125"/>
      <c r="GC89" s="125"/>
      <c r="GD89" s="125"/>
      <c r="GE89" s="125"/>
      <c r="GF89" s="125"/>
      <c r="GG89" s="125"/>
      <c r="GH89" s="125"/>
      <c r="GI89" s="125"/>
      <c r="GJ89" s="125"/>
      <c r="GK89" s="125"/>
      <c r="GL89" s="125"/>
      <c r="GM89" s="125"/>
      <c r="GN89" s="125"/>
      <c r="GO89" s="125"/>
      <c r="GP89" s="125"/>
      <c r="GQ89" s="125"/>
      <c r="GR89" s="125"/>
      <c r="GS89" s="125"/>
      <c r="GT89" s="125"/>
      <c r="GU89" s="125"/>
    </row>
    <row r="90" spans="1:203" s="16" customFormat="1" ht="9.5">
      <c r="A90" s="123"/>
      <c r="DB90" s="124"/>
    </row>
    <row r="91" spans="1:203" s="16" customFormat="1" ht="9.5">
      <c r="A91" s="123"/>
      <c r="DB91" s="124"/>
    </row>
    <row r="92" spans="1:203" s="16" customFormat="1" ht="9.5">
      <c r="A92" s="123"/>
      <c r="DB92" s="124"/>
    </row>
    <row r="93" spans="1:203" s="16" customFormat="1" ht="9.5">
      <c r="A93" s="123"/>
      <c r="DB93" s="124"/>
    </row>
    <row r="94" spans="1:203" s="16" customFormat="1" ht="9.5">
      <c r="A94" s="123"/>
      <c r="DB94" s="124"/>
    </row>
    <row r="95" spans="1:203" s="16" customFormat="1" ht="9.5">
      <c r="A95" s="123"/>
      <c r="BQ95" s="125"/>
      <c r="BR95" s="125"/>
      <c r="BS95" s="125"/>
      <c r="BT95" s="125"/>
      <c r="BU95" s="125"/>
      <c r="BV95" s="125"/>
      <c r="BW95" s="125"/>
      <c r="BX95" s="125"/>
      <c r="BY95" s="125"/>
      <c r="BZ95" s="125"/>
      <c r="CA95" s="125"/>
      <c r="CB95" s="125"/>
      <c r="CC95" s="125"/>
      <c r="CD95" s="125"/>
      <c r="CE95" s="125"/>
      <c r="CF95" s="125"/>
      <c r="CG95" s="125"/>
      <c r="CH95" s="125"/>
      <c r="CI95" s="125"/>
      <c r="CJ95" s="125"/>
      <c r="CK95" s="125"/>
      <c r="CL95" s="125"/>
      <c r="CM95" s="125"/>
      <c r="CN95" s="125"/>
      <c r="CO95" s="125"/>
      <c r="CP95" s="125"/>
      <c r="CQ95" s="125"/>
      <c r="CR95" s="125"/>
      <c r="CS95" s="125"/>
      <c r="CT95" s="125"/>
      <c r="CU95" s="125"/>
      <c r="CV95" s="125"/>
      <c r="CW95" s="125"/>
      <c r="CX95" s="125"/>
      <c r="CY95" s="125"/>
      <c r="CZ95" s="125"/>
      <c r="DA95" s="125"/>
      <c r="DB95" s="125"/>
      <c r="DC95" s="125"/>
      <c r="DD95" s="125"/>
      <c r="DE95" s="125"/>
      <c r="DF95" s="125"/>
      <c r="DG95" s="125"/>
      <c r="DH95" s="125"/>
      <c r="DI95" s="125"/>
      <c r="DJ95" s="125"/>
      <c r="DK95" s="125"/>
      <c r="DL95" s="125"/>
      <c r="DM95" s="125"/>
      <c r="DN95" s="125"/>
      <c r="DO95" s="125"/>
      <c r="DP95" s="125"/>
      <c r="DQ95" s="125"/>
      <c r="DR95" s="125"/>
      <c r="DS95" s="125"/>
      <c r="DT95" s="125"/>
      <c r="DU95" s="125"/>
      <c r="DV95" s="125"/>
      <c r="DW95" s="125"/>
      <c r="DX95" s="125"/>
      <c r="DY95" s="125"/>
      <c r="DZ95" s="125"/>
      <c r="EA95" s="125"/>
      <c r="EB95" s="125"/>
      <c r="EC95" s="125"/>
      <c r="ED95" s="125"/>
      <c r="EE95" s="125"/>
      <c r="EF95" s="125"/>
      <c r="EG95" s="125"/>
      <c r="EH95" s="125"/>
      <c r="EI95" s="125"/>
      <c r="EJ95" s="125"/>
      <c r="EK95" s="125"/>
      <c r="EL95" s="125"/>
      <c r="EM95" s="125"/>
      <c r="EN95" s="125"/>
      <c r="EO95" s="125"/>
      <c r="EP95" s="125"/>
      <c r="EQ95" s="125"/>
      <c r="ER95" s="125"/>
      <c r="ES95" s="125"/>
      <c r="ET95" s="125"/>
      <c r="EU95" s="125"/>
      <c r="EV95" s="125"/>
      <c r="EW95" s="125"/>
      <c r="EX95" s="125"/>
      <c r="EY95" s="125"/>
      <c r="EZ95" s="125"/>
      <c r="FA95" s="125"/>
      <c r="FB95" s="125"/>
      <c r="FC95" s="125"/>
      <c r="FD95" s="125"/>
      <c r="FE95" s="125"/>
      <c r="FF95" s="125"/>
      <c r="FG95" s="125"/>
      <c r="FH95" s="125"/>
      <c r="FI95" s="125"/>
      <c r="FJ95" s="125"/>
      <c r="FK95" s="125"/>
      <c r="FL95" s="125"/>
      <c r="FM95" s="125"/>
      <c r="FN95" s="125"/>
      <c r="FO95" s="125"/>
      <c r="FP95" s="125"/>
      <c r="FQ95" s="125"/>
      <c r="FR95" s="125"/>
      <c r="FS95" s="125"/>
      <c r="FT95" s="125"/>
      <c r="FU95" s="125"/>
      <c r="FV95" s="125"/>
      <c r="FW95" s="125"/>
      <c r="FX95" s="125"/>
      <c r="FY95" s="125"/>
      <c r="FZ95" s="125"/>
      <c r="GA95" s="125"/>
      <c r="GB95" s="125"/>
      <c r="GC95" s="125"/>
      <c r="GD95" s="125"/>
      <c r="GE95" s="125"/>
      <c r="GF95" s="125"/>
      <c r="GG95" s="125"/>
      <c r="GH95" s="125"/>
      <c r="GI95" s="125"/>
      <c r="GJ95" s="125"/>
      <c r="GK95" s="125"/>
      <c r="GL95" s="125"/>
      <c r="GM95" s="125"/>
      <c r="GN95" s="125"/>
      <c r="GO95" s="125"/>
      <c r="GP95" s="125"/>
      <c r="GQ95" s="125"/>
      <c r="GR95" s="125"/>
      <c r="GS95" s="125"/>
      <c r="GT95" s="125"/>
      <c r="GU95" s="125"/>
    </row>
    <row r="96" spans="1:203" s="16" customFormat="1" ht="9.5">
      <c r="A96" s="123"/>
      <c r="DB96" s="124"/>
    </row>
    <row r="97" spans="1:203" s="16" customFormat="1" ht="9.5">
      <c r="A97" s="123"/>
      <c r="DB97" s="124"/>
    </row>
    <row r="98" spans="1:203" s="16" customFormat="1" ht="9.5">
      <c r="A98" s="123"/>
      <c r="BQ98" s="125"/>
      <c r="BR98" s="125"/>
      <c r="BS98" s="125"/>
      <c r="BT98" s="125"/>
      <c r="BU98" s="125"/>
      <c r="BV98" s="125"/>
      <c r="BW98" s="125"/>
      <c r="BX98" s="125"/>
      <c r="BY98" s="125"/>
      <c r="BZ98" s="125"/>
      <c r="CA98" s="125"/>
      <c r="CB98" s="125"/>
      <c r="CC98" s="125"/>
      <c r="CD98" s="125"/>
      <c r="CE98" s="125"/>
      <c r="CF98" s="125"/>
      <c r="CG98" s="125"/>
      <c r="CH98" s="125"/>
      <c r="CI98" s="125"/>
      <c r="CJ98" s="125"/>
      <c r="CK98" s="125"/>
      <c r="CL98" s="125"/>
      <c r="CM98" s="125"/>
      <c r="CN98" s="125"/>
      <c r="CO98" s="125"/>
      <c r="CP98" s="125"/>
      <c r="CQ98" s="125"/>
      <c r="CR98" s="125"/>
      <c r="CS98" s="125"/>
      <c r="CT98" s="125"/>
      <c r="CU98" s="125"/>
      <c r="CV98" s="125"/>
      <c r="CW98" s="125"/>
      <c r="CX98" s="125"/>
      <c r="CY98" s="125"/>
      <c r="CZ98" s="125"/>
      <c r="DA98" s="125"/>
      <c r="DB98" s="125"/>
      <c r="DC98" s="125"/>
      <c r="DD98" s="125"/>
      <c r="DE98" s="125"/>
      <c r="DF98" s="125"/>
      <c r="DG98" s="125"/>
      <c r="DH98" s="125"/>
      <c r="DI98" s="125"/>
      <c r="DJ98" s="125"/>
      <c r="DK98" s="125"/>
      <c r="DL98" s="125"/>
      <c r="DM98" s="125"/>
      <c r="DN98" s="125"/>
      <c r="DO98" s="125"/>
      <c r="DP98" s="125"/>
      <c r="DQ98" s="125"/>
      <c r="DR98" s="125"/>
      <c r="DS98" s="125"/>
      <c r="DT98" s="125"/>
      <c r="DU98" s="125"/>
      <c r="DV98" s="125"/>
      <c r="DW98" s="125"/>
      <c r="DX98" s="125"/>
      <c r="DY98" s="125"/>
      <c r="DZ98" s="125"/>
      <c r="EA98" s="125"/>
      <c r="EB98" s="125"/>
      <c r="EC98" s="125"/>
      <c r="ED98" s="125"/>
      <c r="EE98" s="125"/>
      <c r="EF98" s="125"/>
      <c r="EG98" s="125"/>
      <c r="EH98" s="125"/>
      <c r="EI98" s="125"/>
      <c r="EJ98" s="125"/>
      <c r="EK98" s="125"/>
      <c r="EL98" s="125"/>
      <c r="EM98" s="125"/>
      <c r="EN98" s="125"/>
      <c r="EO98" s="125"/>
      <c r="EP98" s="125"/>
      <c r="EQ98" s="125"/>
      <c r="ER98" s="125"/>
      <c r="ES98" s="125"/>
      <c r="ET98" s="125"/>
      <c r="EU98" s="125"/>
      <c r="EV98" s="125"/>
      <c r="EW98" s="125"/>
      <c r="EX98" s="125"/>
      <c r="EY98" s="125"/>
      <c r="EZ98" s="125"/>
      <c r="FA98" s="125"/>
      <c r="FB98" s="125"/>
      <c r="FC98" s="125"/>
      <c r="FD98" s="125"/>
      <c r="FE98" s="125"/>
      <c r="FF98" s="125"/>
      <c r="FG98" s="125"/>
      <c r="FH98" s="125"/>
      <c r="FI98" s="125"/>
      <c r="FJ98" s="125"/>
      <c r="FK98" s="125"/>
      <c r="FL98" s="125"/>
      <c r="FM98" s="125"/>
      <c r="FN98" s="125"/>
      <c r="FO98" s="125"/>
      <c r="FP98" s="125"/>
      <c r="FQ98" s="125"/>
      <c r="FR98" s="125"/>
      <c r="FS98" s="125"/>
      <c r="FT98" s="125"/>
      <c r="FU98" s="125"/>
      <c r="FV98" s="125"/>
      <c r="FW98" s="125"/>
      <c r="FX98" s="125"/>
      <c r="FY98" s="125"/>
      <c r="FZ98" s="125"/>
      <c r="GA98" s="125"/>
      <c r="GB98" s="125"/>
      <c r="GC98" s="125"/>
      <c r="GD98" s="125"/>
      <c r="GE98" s="125"/>
      <c r="GF98" s="125"/>
      <c r="GG98" s="125"/>
      <c r="GH98" s="125"/>
      <c r="GI98" s="125"/>
      <c r="GJ98" s="125"/>
      <c r="GK98" s="125"/>
      <c r="GL98" s="125"/>
      <c r="GM98" s="125"/>
      <c r="GN98" s="125"/>
      <c r="GO98" s="125"/>
      <c r="GP98" s="125"/>
      <c r="GQ98" s="125"/>
      <c r="GR98" s="125"/>
      <c r="GS98" s="125"/>
      <c r="GT98" s="125"/>
      <c r="GU98" s="125"/>
    </row>
    <row r="99" spans="1:203" s="16" customFormat="1" ht="9.5">
      <c r="A99" s="123"/>
      <c r="DB99" s="124"/>
    </row>
    <row r="100" spans="1:203" s="16" customFormat="1" ht="9.5">
      <c r="A100" s="123"/>
      <c r="DB100" s="124"/>
    </row>
    <row r="101" spans="1:203" s="16" customFormat="1" ht="9.5">
      <c r="A101" s="123"/>
      <c r="DB101" s="124"/>
    </row>
    <row r="102" spans="1:203" s="16" customFormat="1" ht="9.5">
      <c r="A102" s="123"/>
      <c r="BQ102" s="125"/>
      <c r="BR102" s="125"/>
      <c r="BS102" s="125"/>
      <c r="BT102" s="125"/>
      <c r="BU102" s="125"/>
      <c r="BV102" s="125"/>
      <c r="BW102" s="125"/>
      <c r="BX102" s="125"/>
      <c r="BY102" s="125"/>
      <c r="BZ102" s="125"/>
      <c r="CA102" s="125"/>
      <c r="CB102" s="125"/>
      <c r="CC102" s="125"/>
      <c r="CD102" s="125"/>
      <c r="CE102" s="125"/>
      <c r="CF102" s="125"/>
      <c r="CG102" s="125"/>
      <c r="CH102" s="125"/>
      <c r="CI102" s="125"/>
      <c r="CJ102" s="125"/>
      <c r="CK102" s="125"/>
      <c r="CL102" s="125"/>
      <c r="CM102" s="125"/>
      <c r="CN102" s="125"/>
      <c r="CO102" s="125"/>
      <c r="CP102" s="125"/>
      <c r="CQ102" s="125"/>
      <c r="CR102" s="125"/>
      <c r="CS102" s="125"/>
      <c r="CT102" s="125"/>
      <c r="CU102" s="125"/>
      <c r="CV102" s="125"/>
      <c r="CW102" s="125"/>
      <c r="CX102" s="125"/>
      <c r="CY102" s="125"/>
      <c r="CZ102" s="125"/>
      <c r="DA102" s="125"/>
      <c r="DB102" s="125"/>
      <c r="DC102" s="125"/>
      <c r="DD102" s="125"/>
      <c r="DE102" s="125"/>
      <c r="DF102" s="125"/>
      <c r="DG102" s="125"/>
      <c r="DH102" s="125"/>
      <c r="DI102" s="125"/>
      <c r="DJ102" s="125"/>
      <c r="DK102" s="125"/>
      <c r="DL102" s="125"/>
      <c r="DM102" s="125"/>
      <c r="DN102" s="125"/>
      <c r="DO102" s="125"/>
      <c r="DP102" s="125"/>
      <c r="DQ102" s="125"/>
      <c r="DR102" s="125"/>
      <c r="DS102" s="125"/>
      <c r="DT102" s="125"/>
      <c r="DU102" s="125"/>
      <c r="DV102" s="125"/>
      <c r="DW102" s="125"/>
      <c r="DX102" s="125"/>
      <c r="DY102" s="125"/>
      <c r="DZ102" s="125"/>
      <c r="EA102" s="125"/>
      <c r="EB102" s="125"/>
      <c r="EC102" s="125"/>
      <c r="ED102" s="125"/>
      <c r="EE102" s="125"/>
      <c r="EF102" s="125"/>
      <c r="EG102" s="125"/>
      <c r="EH102" s="125"/>
      <c r="EI102" s="125"/>
      <c r="EJ102" s="125"/>
      <c r="EK102" s="125"/>
      <c r="EL102" s="125"/>
      <c r="EM102" s="125"/>
      <c r="EN102" s="125"/>
      <c r="EO102" s="125"/>
      <c r="EP102" s="125"/>
      <c r="EQ102" s="125"/>
      <c r="ER102" s="125"/>
      <c r="ES102" s="125"/>
      <c r="ET102" s="125"/>
      <c r="EU102" s="125"/>
      <c r="EV102" s="125"/>
      <c r="EW102" s="125"/>
      <c r="EX102" s="125"/>
      <c r="EY102" s="125"/>
      <c r="EZ102" s="125"/>
      <c r="FA102" s="125"/>
      <c r="FB102" s="125"/>
      <c r="FC102" s="125"/>
      <c r="FD102" s="125"/>
      <c r="FE102" s="125"/>
      <c r="FF102" s="125"/>
      <c r="FG102" s="125"/>
      <c r="FH102" s="125"/>
      <c r="FI102" s="125"/>
      <c r="FJ102" s="125"/>
      <c r="FK102" s="125"/>
      <c r="FL102" s="125"/>
      <c r="FM102" s="125"/>
      <c r="FN102" s="125"/>
      <c r="FO102" s="125"/>
      <c r="FP102" s="125"/>
      <c r="FQ102" s="125"/>
      <c r="FR102" s="125"/>
      <c r="FS102" s="125"/>
      <c r="FT102" s="125"/>
      <c r="FU102" s="125"/>
      <c r="FV102" s="125"/>
      <c r="FW102" s="125"/>
      <c r="FX102" s="125"/>
      <c r="FY102" s="125"/>
      <c r="FZ102" s="125"/>
      <c r="GA102" s="125"/>
      <c r="GB102" s="125"/>
      <c r="GC102" s="125"/>
      <c r="GD102" s="125"/>
      <c r="GE102" s="125"/>
      <c r="GF102" s="125"/>
      <c r="GG102" s="125"/>
      <c r="GH102" s="125"/>
      <c r="GI102" s="125"/>
      <c r="GJ102" s="125"/>
      <c r="GK102" s="125"/>
      <c r="GL102" s="125"/>
      <c r="GM102" s="125"/>
      <c r="GN102" s="125"/>
      <c r="GO102" s="125"/>
      <c r="GP102" s="125"/>
      <c r="GQ102" s="125"/>
      <c r="GR102" s="125"/>
      <c r="GS102" s="125"/>
      <c r="GT102" s="125"/>
      <c r="GU102" s="125"/>
    </row>
    <row r="103" spans="1:203" s="16" customFormat="1" ht="9.5">
      <c r="A103" s="123"/>
      <c r="DB103" s="124"/>
    </row>
  </sheetData>
  <mergeCells count="1">
    <mergeCell ref="A1:A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1:YJ92"/>
  <sheetViews>
    <sheetView showGridLines="0" topLeftCell="AL1" zoomScale="120" zoomScaleNormal="120" workbookViewId="0">
      <selection activeCell="AQ3" sqref="AQ3"/>
    </sheetView>
  </sheetViews>
  <sheetFormatPr defaultColWidth="9.1796875" defaultRowHeight="10.5" outlineLevelCol="1"/>
  <cols>
    <col min="1" max="1" width="24.26953125" style="45" customWidth="1"/>
    <col min="2" max="2" width="13" style="44" customWidth="1"/>
    <col min="3" max="3" width="0.81640625" style="44" customWidth="1"/>
    <col min="4" max="4" width="11.7265625" style="43" customWidth="1"/>
    <col min="5" max="5" width="1.453125" style="43" customWidth="1"/>
    <col min="6" max="6" width="11.453125" style="164" customWidth="1"/>
    <col min="7" max="7" width="1.453125" style="43" bestFit="1" customWidth="1"/>
    <col min="8" max="8" width="11.26953125" style="43" customWidth="1" outlineLevel="1"/>
    <col min="9" max="9" width="2.1796875" style="43" customWidth="1" outlineLevel="1"/>
    <col min="10" max="10" width="11.54296875" style="43" customWidth="1" outlineLevel="1"/>
    <col min="11" max="11" width="1" style="43" customWidth="1"/>
    <col min="12" max="12" width="12.26953125" style="43" bestFit="1" customWidth="1"/>
    <col min="13" max="14" width="9.1796875" style="45"/>
    <col min="15" max="15" width="24.26953125" style="45" customWidth="1"/>
    <col min="16" max="16" width="13" style="44" customWidth="1"/>
    <col min="17" max="17" width="0.81640625" style="44" customWidth="1"/>
    <col min="18" max="18" width="11.7265625" style="43" customWidth="1"/>
    <col min="19" max="19" width="1.453125" style="43" customWidth="1"/>
    <col min="20" max="20" width="11.453125" style="164" customWidth="1"/>
    <col min="21" max="21" width="1.453125" style="43" bestFit="1" customWidth="1"/>
    <col min="22" max="22" width="11.26953125" style="43" customWidth="1" outlineLevel="1"/>
    <col min="23" max="23" width="2.1796875" style="43" customWidth="1" outlineLevel="1"/>
    <col min="24" max="24" width="11.54296875" style="43" customWidth="1" outlineLevel="1"/>
    <col min="25" max="25" width="1" style="43" customWidth="1"/>
    <col min="26" max="26" width="12.26953125" style="43" bestFit="1" customWidth="1"/>
    <col min="27" max="28" width="9.1796875" style="45"/>
    <col min="29" max="29" width="24.26953125" style="45" customWidth="1"/>
    <col min="30" max="30" width="13" style="44" customWidth="1"/>
    <col min="31" max="31" width="0.81640625" style="44" customWidth="1"/>
    <col min="32" max="32" width="11.7265625" style="43" customWidth="1"/>
    <col min="33" max="33" width="1.453125" style="43" customWidth="1"/>
    <col min="34" max="34" width="11.453125" style="164" customWidth="1"/>
    <col min="35" max="35" width="1.453125" style="43" bestFit="1" customWidth="1"/>
    <col min="36" max="36" width="11.26953125" style="43" customWidth="1" outlineLevel="1"/>
    <col min="37" max="37" width="2.1796875" style="43" customWidth="1" outlineLevel="1"/>
    <col min="38" max="38" width="11.54296875" style="43" customWidth="1" outlineLevel="1"/>
    <col min="39" max="39" width="1" style="43" customWidth="1"/>
    <col min="40" max="40" width="12.26953125" style="43" bestFit="1" customWidth="1"/>
    <col min="41" max="42" width="9.1796875" style="45"/>
    <col min="43" max="43" width="24.26953125" style="45" customWidth="1"/>
    <col min="44" max="44" width="13" style="44" customWidth="1"/>
    <col min="45" max="45" width="0.81640625" style="44" customWidth="1"/>
    <col min="46" max="46" width="11.7265625" style="43" customWidth="1"/>
    <col min="47" max="47" width="1.453125" style="43" customWidth="1"/>
    <col min="48" max="48" width="11.453125" style="164" customWidth="1"/>
    <col min="49" max="49" width="1.453125" style="43" bestFit="1" customWidth="1"/>
    <col min="50" max="50" width="11.26953125" style="43" customWidth="1" outlineLevel="1"/>
    <col min="51" max="51" width="2.1796875" style="43" customWidth="1" outlineLevel="1"/>
    <col min="52" max="52" width="11.54296875" style="43" customWidth="1" outlineLevel="1"/>
    <col min="53" max="53" width="1" style="43" customWidth="1"/>
    <col min="54" max="54" width="12.26953125" style="43" bestFit="1" customWidth="1"/>
    <col min="55" max="56" width="9.1796875" style="45"/>
    <col min="57" max="57" width="24.26953125" style="45" customWidth="1"/>
    <col min="58" max="58" width="13" style="44" customWidth="1"/>
    <col min="59" max="59" width="0.81640625" style="44" customWidth="1"/>
    <col min="60" max="60" width="11.7265625" style="43" customWidth="1"/>
    <col min="61" max="61" width="1.453125" style="43" customWidth="1"/>
    <col min="62" max="62" width="11.453125" style="164" customWidth="1"/>
    <col min="63" max="63" width="1.453125" style="43" bestFit="1" customWidth="1"/>
    <col min="64" max="64" width="11.26953125" style="43" customWidth="1" outlineLevel="1"/>
    <col min="65" max="65" width="2.1796875" style="43" customWidth="1" outlineLevel="1"/>
    <col min="66" max="66" width="11.54296875" style="43" customWidth="1" outlineLevel="1"/>
    <col min="67" max="67" width="1" style="43" customWidth="1"/>
    <col min="68" max="68" width="12.26953125" style="43" bestFit="1" customWidth="1"/>
    <col min="69" max="70" width="9.1796875" style="45"/>
    <col min="71" max="71" width="24.26953125" style="45" customWidth="1"/>
    <col min="72" max="72" width="13" style="44" customWidth="1"/>
    <col min="73" max="73" width="0.81640625" style="44" customWidth="1"/>
    <col min="74" max="74" width="11.7265625" style="43" customWidth="1"/>
    <col min="75" max="75" width="1.453125" style="43" customWidth="1"/>
    <col min="76" max="76" width="11.453125" style="164" customWidth="1"/>
    <col min="77" max="77" width="1.453125" style="43" bestFit="1" customWidth="1"/>
    <col min="78" max="78" width="11.26953125" style="43" customWidth="1" outlineLevel="1"/>
    <col min="79" max="79" width="2.1796875" style="43" customWidth="1" outlineLevel="1"/>
    <col min="80" max="80" width="11.54296875" style="43" customWidth="1" outlineLevel="1"/>
    <col min="81" max="81" width="1" style="43" customWidth="1"/>
    <col min="82" max="82" width="12.26953125" style="43" bestFit="1" customWidth="1"/>
    <col min="83" max="84" width="9.1796875" style="45"/>
    <col min="85" max="85" width="24.26953125" style="45" customWidth="1"/>
    <col min="86" max="86" width="13" style="44" customWidth="1"/>
    <col min="87" max="87" width="0.81640625" style="44" customWidth="1"/>
    <col min="88" max="88" width="11.7265625" style="43" customWidth="1"/>
    <col min="89" max="89" width="1.453125" style="43" customWidth="1"/>
    <col min="90" max="90" width="11.453125" style="164" customWidth="1"/>
    <col min="91" max="91" width="1.453125" style="43" bestFit="1" customWidth="1"/>
    <col min="92" max="92" width="11.26953125" style="43" customWidth="1" outlineLevel="1"/>
    <col min="93" max="93" width="2.1796875" style="43" customWidth="1" outlineLevel="1"/>
    <col min="94" max="94" width="11.54296875" style="43" customWidth="1" outlineLevel="1"/>
    <col min="95" max="95" width="1" style="43" customWidth="1"/>
    <col min="96" max="96" width="12.26953125" style="43" bestFit="1" customWidth="1"/>
    <col min="97" max="98" width="9.1796875" style="45"/>
    <col min="99" max="99" width="24.26953125" style="45" customWidth="1"/>
    <col min="100" max="100" width="13" style="44" customWidth="1"/>
    <col min="101" max="101" width="0.81640625" style="44" customWidth="1"/>
    <col min="102" max="102" width="11.7265625" style="43" customWidth="1"/>
    <col min="103" max="103" width="1.453125" style="43" customWidth="1"/>
    <col min="104" max="104" width="11.453125" style="164" customWidth="1"/>
    <col min="105" max="105" width="1.453125" style="43" bestFit="1" customWidth="1"/>
    <col min="106" max="106" width="11.26953125" style="43" customWidth="1" outlineLevel="1"/>
    <col min="107" max="107" width="2.1796875" style="43" customWidth="1" outlineLevel="1"/>
    <col min="108" max="108" width="11.54296875" style="43" customWidth="1" outlineLevel="1"/>
    <col min="109" max="109" width="1" style="43" customWidth="1"/>
    <col min="110" max="110" width="12.26953125" style="43" bestFit="1" customWidth="1"/>
    <col min="111" max="112" width="9.1796875" style="45"/>
    <col min="113" max="113" width="24.26953125" style="45" customWidth="1"/>
    <col min="114" max="114" width="13" style="44" customWidth="1"/>
    <col min="115" max="115" width="0.81640625" style="44" customWidth="1"/>
    <col min="116" max="116" width="11.7265625" style="43" customWidth="1"/>
    <col min="117" max="117" width="1.453125" style="43" customWidth="1"/>
    <col min="118" max="118" width="11.453125" style="164" customWidth="1"/>
    <col min="119" max="119" width="1.453125" style="43" bestFit="1" customWidth="1"/>
    <col min="120" max="120" width="11.26953125" style="43" customWidth="1" outlineLevel="1"/>
    <col min="121" max="121" width="2.1796875" style="43" customWidth="1" outlineLevel="1"/>
    <col min="122" max="122" width="11.54296875" style="43" customWidth="1" outlineLevel="1"/>
    <col min="123" max="123" width="1" style="43" customWidth="1"/>
    <col min="124" max="124" width="12.26953125" style="43" bestFit="1" customWidth="1"/>
    <col min="125" max="126" width="9.1796875" style="45"/>
    <col min="127" max="127" width="24.26953125" style="45" customWidth="1"/>
    <col min="128" max="128" width="13" style="44" customWidth="1"/>
    <col min="129" max="129" width="0.81640625" style="44" customWidth="1"/>
    <col min="130" max="130" width="11.7265625" style="43" customWidth="1"/>
    <col min="131" max="131" width="1.453125" style="43" customWidth="1"/>
    <col min="132" max="132" width="12.1796875" style="164" customWidth="1"/>
    <col min="133" max="133" width="1.453125" style="43" bestFit="1" customWidth="1"/>
    <col min="134" max="134" width="11.26953125" style="43" customWidth="1" outlineLevel="1"/>
    <col min="135" max="135" width="2.1796875" style="43" customWidth="1" outlineLevel="1"/>
    <col min="136" max="136" width="10.54296875" style="43" bestFit="1" customWidth="1" outlineLevel="1"/>
    <col min="137" max="137" width="1" style="43" customWidth="1"/>
    <col min="138" max="138" width="12.26953125" style="43" customWidth="1"/>
    <col min="139" max="140" width="9.1796875" style="45"/>
    <col min="141" max="141" width="24.26953125" style="45" customWidth="1"/>
    <col min="142" max="142" width="13" style="44" customWidth="1"/>
    <col min="143" max="143" width="0.81640625" style="44" customWidth="1"/>
    <col min="144" max="144" width="11.7265625" style="43" customWidth="1"/>
    <col min="145" max="145" width="1.453125" style="43" customWidth="1"/>
    <col min="146" max="146" width="10.54296875" style="164" customWidth="1"/>
    <col min="147" max="147" width="1.453125" style="43" bestFit="1" customWidth="1"/>
    <col min="148" max="148" width="11.26953125" style="43" customWidth="1" outlineLevel="1"/>
    <col min="149" max="149" width="2.1796875" style="43" customWidth="1" outlineLevel="1"/>
    <col min="150" max="150" width="10.54296875" style="43" bestFit="1" customWidth="1" outlineLevel="1"/>
    <col min="151" max="151" width="1" style="43" customWidth="1"/>
    <col min="152" max="152" width="12.26953125" style="43" customWidth="1"/>
    <col min="153" max="154" width="9.1796875" style="45"/>
    <col min="155" max="155" width="24.26953125" style="45" customWidth="1"/>
    <col min="156" max="156" width="13" style="44" customWidth="1"/>
    <col min="157" max="157" width="0.81640625" style="44" customWidth="1"/>
    <col min="158" max="158" width="11.7265625" style="43" customWidth="1"/>
    <col min="159" max="159" width="1.453125" style="43" customWidth="1"/>
    <col min="160" max="160" width="10.54296875" style="164" customWidth="1"/>
    <col min="161" max="161" width="1.453125" style="43" bestFit="1" customWidth="1"/>
    <col min="162" max="162" width="11.26953125" style="43" customWidth="1" outlineLevel="1"/>
    <col min="163" max="163" width="2.1796875" style="43" customWidth="1" outlineLevel="1"/>
    <col min="164" max="164" width="10.54296875" style="43" bestFit="1" customWidth="1" outlineLevel="1"/>
    <col min="165" max="165" width="1" style="43" customWidth="1"/>
    <col min="166" max="166" width="12.26953125" style="43" customWidth="1"/>
    <col min="167" max="168" width="9.1796875" style="45"/>
    <col min="169" max="169" width="24.26953125" style="45" customWidth="1"/>
    <col min="170" max="170" width="13" style="44" customWidth="1"/>
    <col min="171" max="171" width="0.81640625" style="44" customWidth="1"/>
    <col min="172" max="172" width="11.7265625" style="43" customWidth="1"/>
    <col min="173" max="173" width="1.453125" style="43" customWidth="1"/>
    <col min="174" max="174" width="11.453125" style="164" customWidth="1"/>
    <col min="175" max="175" width="1.453125" style="43" bestFit="1" customWidth="1"/>
    <col min="176" max="176" width="11.26953125" style="43" customWidth="1" outlineLevel="1"/>
    <col min="177" max="177" width="2.1796875" style="43" customWidth="1" outlineLevel="1"/>
    <col min="178" max="178" width="10.54296875" style="43" bestFit="1" customWidth="1" outlineLevel="1"/>
    <col min="179" max="179" width="1" style="43" customWidth="1"/>
    <col min="180" max="180" width="12.26953125" style="43" customWidth="1"/>
    <col min="181" max="182" width="9.1796875" style="45"/>
    <col min="183" max="183" width="24.26953125" style="45" customWidth="1"/>
    <col min="184" max="184" width="13" style="44" customWidth="1"/>
    <col min="185" max="185" width="0.81640625" style="44" customWidth="1"/>
    <col min="186" max="186" width="11.7265625" style="43" customWidth="1"/>
    <col min="187" max="187" width="1.453125" style="43" customWidth="1"/>
    <col min="188" max="188" width="10.54296875" style="164" customWidth="1"/>
    <col min="189" max="189" width="1.453125" style="43" bestFit="1" customWidth="1"/>
    <col min="190" max="190" width="11.26953125" style="43" customWidth="1" outlineLevel="1"/>
    <col min="191" max="191" width="2.1796875" style="43" customWidth="1" outlineLevel="1"/>
    <col min="192" max="192" width="10.54296875" style="43" bestFit="1" customWidth="1" outlineLevel="1"/>
    <col min="193" max="193" width="1" style="43" customWidth="1"/>
    <col min="194" max="194" width="12.26953125" style="43" customWidth="1"/>
    <col min="195" max="196" width="9.1796875" style="45"/>
    <col min="197" max="197" width="24.26953125" style="45" customWidth="1"/>
    <col min="198" max="198" width="13" style="44" customWidth="1"/>
    <col min="199" max="199" width="0.81640625" style="44" customWidth="1"/>
    <col min="200" max="200" width="11.7265625" style="43" customWidth="1"/>
    <col min="201" max="201" width="1.453125" style="43" customWidth="1"/>
    <col min="202" max="202" width="10.54296875" style="164" customWidth="1"/>
    <col min="203" max="203" width="1.453125" style="43" bestFit="1" customWidth="1"/>
    <col min="204" max="204" width="11.26953125" style="43" customWidth="1" outlineLevel="1"/>
    <col min="205" max="205" width="2.1796875" style="43" customWidth="1" outlineLevel="1"/>
    <col min="206" max="206" width="10.54296875" style="43" bestFit="1" customWidth="1" outlineLevel="1"/>
    <col min="207" max="207" width="1" style="43" customWidth="1"/>
    <col min="208" max="208" width="12.26953125" style="43" customWidth="1"/>
    <col min="209" max="210" width="9.1796875" style="45"/>
    <col min="211" max="211" width="24.26953125" style="45" customWidth="1"/>
    <col min="212" max="212" width="13" style="44" customWidth="1"/>
    <col min="213" max="213" width="0.81640625" style="44" customWidth="1"/>
    <col min="214" max="214" width="11.7265625" style="43" customWidth="1"/>
    <col min="215" max="215" width="1.453125" style="43" customWidth="1"/>
    <col min="216" max="216" width="10.54296875" style="164" customWidth="1"/>
    <col min="217" max="217" width="1.453125" style="43" bestFit="1" customWidth="1"/>
    <col min="218" max="218" width="11.26953125" style="43" customWidth="1" outlineLevel="1"/>
    <col min="219" max="219" width="2.1796875" style="43" customWidth="1" outlineLevel="1"/>
    <col min="220" max="220" width="10.54296875" style="43" bestFit="1" customWidth="1" outlineLevel="1"/>
    <col min="221" max="221" width="1" style="43" customWidth="1"/>
    <col min="222" max="222" width="12.26953125" style="43" customWidth="1"/>
    <col min="223" max="224" width="9.1796875" style="45"/>
    <col min="225" max="225" width="24.26953125" style="45" customWidth="1"/>
    <col min="226" max="226" width="13" style="44" customWidth="1"/>
    <col min="227" max="227" width="0.81640625" style="44" customWidth="1"/>
    <col min="228" max="228" width="11.7265625" style="43" customWidth="1"/>
    <col min="229" max="229" width="1.453125" style="43" customWidth="1"/>
    <col min="230" max="230" width="10.54296875" style="164" customWidth="1"/>
    <col min="231" max="231" width="1.453125" style="43" bestFit="1" customWidth="1"/>
    <col min="232" max="232" width="11.26953125" style="43" customWidth="1" outlineLevel="1"/>
    <col min="233" max="233" width="2.1796875" style="43" customWidth="1" outlineLevel="1"/>
    <col min="234" max="234" width="10.54296875" style="43" bestFit="1" customWidth="1" outlineLevel="1"/>
    <col min="235" max="235" width="1" style="43" customWidth="1"/>
    <col min="236" max="236" width="12.26953125" style="43" customWidth="1"/>
    <col min="237" max="238" width="9.1796875" style="45"/>
    <col min="239" max="239" width="24.26953125" style="45" customWidth="1"/>
    <col min="240" max="240" width="13" style="44" customWidth="1"/>
    <col min="241" max="241" width="0.81640625" style="44" customWidth="1"/>
    <col min="242" max="242" width="11.7265625" style="43" customWidth="1"/>
    <col min="243" max="243" width="1.453125" style="43" customWidth="1"/>
    <col min="244" max="244" width="10.54296875" style="164" customWidth="1"/>
    <col min="245" max="245" width="1.453125" style="43" bestFit="1" customWidth="1"/>
    <col min="246" max="246" width="11.26953125" style="43" customWidth="1" outlineLevel="1"/>
    <col min="247" max="247" width="2.1796875" style="43" customWidth="1" outlineLevel="1"/>
    <col min="248" max="248" width="10.54296875" style="43" bestFit="1" customWidth="1" outlineLevel="1"/>
    <col min="249" max="249" width="1" style="43" customWidth="1"/>
    <col min="250" max="250" width="12.26953125" style="43" customWidth="1"/>
    <col min="251" max="252" width="9.1796875" style="45"/>
    <col min="253" max="253" width="24.26953125" style="45" customWidth="1"/>
    <col min="254" max="254" width="13" style="44" customWidth="1"/>
    <col min="255" max="255" width="0.81640625" style="44" customWidth="1"/>
    <col min="256" max="256" width="11.7265625" style="43" customWidth="1"/>
    <col min="257" max="257" width="1.453125" style="43" customWidth="1"/>
    <col min="258" max="258" width="10.54296875" style="164" customWidth="1"/>
    <col min="259" max="259" width="1.453125" style="43" bestFit="1" customWidth="1"/>
    <col min="260" max="260" width="11.26953125" style="43" customWidth="1" outlineLevel="1"/>
    <col min="261" max="261" width="2.1796875" style="43" customWidth="1" outlineLevel="1"/>
    <col min="262" max="262" width="10.54296875" style="43" bestFit="1" customWidth="1" outlineLevel="1"/>
    <col min="263" max="263" width="1" style="43" customWidth="1"/>
    <col min="264" max="264" width="12.26953125" style="43" customWidth="1"/>
    <col min="265" max="266" width="9.1796875" style="45"/>
    <col min="267" max="267" width="24.26953125" style="45" customWidth="1"/>
    <col min="268" max="268" width="13" style="44" customWidth="1"/>
    <col min="269" max="269" width="0.81640625" style="44" customWidth="1"/>
    <col min="270" max="270" width="11.7265625" style="43" customWidth="1"/>
    <col min="271" max="271" width="1.453125" style="43" customWidth="1"/>
    <col min="272" max="272" width="10.54296875" style="164" customWidth="1"/>
    <col min="273" max="273" width="1.453125" style="43" bestFit="1" customWidth="1"/>
    <col min="274" max="274" width="11.26953125" style="43" customWidth="1" outlineLevel="1"/>
    <col min="275" max="275" width="2.1796875" style="43" customWidth="1" outlineLevel="1"/>
    <col min="276" max="276" width="10.54296875" style="43" bestFit="1" customWidth="1" outlineLevel="1"/>
    <col min="277" max="277" width="1" style="43" customWidth="1"/>
    <col min="278" max="278" width="12.26953125" style="43" customWidth="1"/>
    <col min="279" max="280" width="9.1796875" style="45"/>
    <col min="281" max="281" width="24.26953125" style="45" customWidth="1"/>
    <col min="282" max="282" width="13" style="44" customWidth="1"/>
    <col min="283" max="283" width="0.81640625" style="44" customWidth="1"/>
    <col min="284" max="284" width="11.7265625" style="43" customWidth="1"/>
    <col min="285" max="285" width="1.453125" style="43" customWidth="1"/>
    <col min="286" max="286" width="10.54296875" style="164" customWidth="1"/>
    <col min="287" max="287" width="1.453125" style="43" bestFit="1" customWidth="1"/>
    <col min="288" max="288" width="11.26953125" style="43" customWidth="1" outlineLevel="1"/>
    <col min="289" max="289" width="2.1796875" style="43" customWidth="1" outlineLevel="1"/>
    <col min="290" max="290" width="10.54296875" style="43" bestFit="1" customWidth="1" outlineLevel="1"/>
    <col min="291" max="291" width="1" style="43" customWidth="1"/>
    <col min="292" max="292" width="12.26953125" style="43" customWidth="1"/>
    <col min="293" max="294" width="9.1796875" style="45"/>
    <col min="295" max="295" width="24.26953125" style="45" customWidth="1"/>
    <col min="296" max="296" width="13" style="44" customWidth="1"/>
    <col min="297" max="297" width="0.81640625" style="44" customWidth="1"/>
    <col min="298" max="298" width="11.7265625" style="43" customWidth="1"/>
    <col min="299" max="299" width="1.453125" style="43" customWidth="1"/>
    <col min="300" max="300" width="10.54296875" style="164" customWidth="1"/>
    <col min="301" max="301" width="1.453125" style="43" bestFit="1" customWidth="1"/>
    <col min="302" max="302" width="11.26953125" style="43" customWidth="1" outlineLevel="1"/>
    <col min="303" max="303" width="2.1796875" style="43" customWidth="1" outlineLevel="1"/>
    <col min="304" max="304" width="10.54296875" style="43" customWidth="1" outlineLevel="1"/>
    <col min="305" max="305" width="1" style="43" customWidth="1"/>
    <col min="306" max="306" width="12.26953125" style="43" customWidth="1"/>
    <col min="307" max="308" width="9.1796875" style="45"/>
    <col min="309" max="309" width="24.26953125" style="45" customWidth="1"/>
    <col min="310" max="310" width="11.453125" style="44" bestFit="1" customWidth="1"/>
    <col min="311" max="311" width="0.81640625" style="44" customWidth="1"/>
    <col min="312" max="312" width="11.1796875" style="43" customWidth="1"/>
    <col min="313" max="313" width="1.54296875" style="43" customWidth="1"/>
    <col min="314" max="314" width="11.7265625" style="43" customWidth="1"/>
    <col min="315" max="315" width="1.453125" style="43" customWidth="1"/>
    <col min="316" max="316" width="10.54296875" style="43" bestFit="1" customWidth="1"/>
    <col min="317" max="317" width="2.1796875" style="43" customWidth="1"/>
    <col min="318" max="318" width="10.54296875" style="43" bestFit="1" customWidth="1"/>
    <col min="319" max="319" width="1" style="43" customWidth="1"/>
    <col min="320" max="320" width="11.453125" style="43" bestFit="1" customWidth="1"/>
    <col min="321" max="321" width="5.54296875" style="45" customWidth="1"/>
    <col min="322" max="322" width="24.26953125" style="45" customWidth="1"/>
    <col min="323" max="323" width="11.453125" style="44" bestFit="1" customWidth="1"/>
    <col min="324" max="324" width="0.81640625" style="44" customWidth="1"/>
    <col min="325" max="325" width="11.453125" style="43" bestFit="1" customWidth="1"/>
    <col min="326" max="326" width="1.453125" style="43" customWidth="1"/>
    <col min="327" max="327" width="11.1796875" style="43" customWidth="1"/>
    <col min="328" max="328" width="1.453125" style="43" bestFit="1" customWidth="1"/>
    <col min="329" max="329" width="10.54296875" style="43" bestFit="1" customWidth="1"/>
    <col min="330" max="330" width="2.1796875" style="43" customWidth="1"/>
    <col min="331" max="331" width="12.453125" style="43" customWidth="1"/>
    <col min="332" max="332" width="1" style="43" customWidth="1"/>
    <col min="333" max="333" width="13.7265625" style="43" customWidth="1"/>
    <col min="334" max="334" width="3" style="43" customWidth="1"/>
    <col min="335" max="335" width="24.26953125" style="45" customWidth="1"/>
    <col min="336" max="336" width="13" style="44" customWidth="1"/>
    <col min="337" max="337" width="0.81640625" style="44" customWidth="1"/>
    <col min="338" max="338" width="11.7265625" style="43" customWidth="1"/>
    <col min="339" max="339" width="1.453125" style="43" customWidth="1"/>
    <col min="340" max="340" width="10.54296875" style="164" customWidth="1"/>
    <col min="341" max="341" width="1.453125" style="43" bestFit="1" customWidth="1"/>
    <col min="342" max="342" width="11.26953125" style="43" customWidth="1" outlineLevel="1"/>
    <col min="343" max="343" width="2.1796875" style="43" customWidth="1" outlineLevel="1"/>
    <col min="344" max="344" width="10.54296875" style="43" bestFit="1" customWidth="1" outlineLevel="1"/>
    <col min="345" max="345" width="1" style="43" customWidth="1"/>
    <col min="346" max="346" width="12.26953125" style="43" customWidth="1"/>
    <col min="347" max="348" width="9.1796875" style="45"/>
    <col min="349" max="349" width="24.26953125" style="45" customWidth="1"/>
    <col min="350" max="350" width="13" style="44" customWidth="1"/>
    <col min="351" max="351" width="0.81640625" style="44" customWidth="1"/>
    <col min="352" max="352" width="11.7265625" style="43" customWidth="1"/>
    <col min="353" max="353" width="1.453125" style="43" customWidth="1"/>
    <col min="354" max="354" width="10.54296875" style="164" customWidth="1"/>
    <col min="355" max="355" width="1.453125" style="43" bestFit="1" customWidth="1"/>
    <col min="356" max="356" width="11.26953125" style="43" customWidth="1" outlineLevel="1"/>
    <col min="357" max="357" width="2.1796875" style="43" customWidth="1" outlineLevel="1"/>
    <col min="358" max="358" width="10.54296875" style="43" bestFit="1" customWidth="1" outlineLevel="1"/>
    <col min="359" max="359" width="1" style="43" customWidth="1"/>
    <col min="360" max="360" width="12.26953125" style="43" customWidth="1"/>
    <col min="361" max="362" width="9.1796875" style="45"/>
    <col min="363" max="363" width="24.26953125" style="45" customWidth="1"/>
    <col min="364" max="364" width="11.453125" style="44" bestFit="1" customWidth="1"/>
    <col min="365" max="365" width="0.81640625" style="44" customWidth="1"/>
    <col min="366" max="366" width="11.1796875" style="43" customWidth="1"/>
    <col min="367" max="367" width="1.54296875" style="43" customWidth="1"/>
    <col min="368" max="368" width="11.7265625" style="43" customWidth="1"/>
    <col min="369" max="369" width="1.453125" style="43" customWidth="1"/>
    <col min="370" max="370" width="10.54296875" style="43" bestFit="1" customWidth="1"/>
    <col min="371" max="371" width="2.1796875" style="43" customWidth="1"/>
    <col min="372" max="372" width="10.54296875" style="43" bestFit="1" customWidth="1"/>
    <col min="373" max="373" width="1" style="43" customWidth="1"/>
    <col min="374" max="374" width="11.453125" style="43" bestFit="1" customWidth="1"/>
    <col min="375" max="375" width="5.54296875" style="45" customWidth="1"/>
    <col min="376" max="376" width="24.26953125" style="45" customWidth="1"/>
    <col min="377" max="377" width="11.453125" style="44" bestFit="1" customWidth="1"/>
    <col min="378" max="378" width="0.81640625" style="44" customWidth="1"/>
    <col min="379" max="379" width="11.453125" style="43" bestFit="1" customWidth="1"/>
    <col min="380" max="380" width="1.453125" style="43" customWidth="1"/>
    <col min="381" max="381" width="12" style="43" customWidth="1"/>
    <col min="382" max="382" width="1.453125" style="43" bestFit="1" customWidth="1"/>
    <col min="383" max="383" width="10.54296875" style="43" bestFit="1" customWidth="1"/>
    <col min="384" max="384" width="2.1796875" style="43" customWidth="1"/>
    <col min="385" max="385" width="12.453125" style="43" customWidth="1"/>
    <col min="386" max="386" width="1" style="43" customWidth="1"/>
    <col min="387" max="387" width="13.7265625" style="43" customWidth="1"/>
    <col min="388" max="388" width="3.1796875" style="45" customWidth="1"/>
    <col min="389" max="389" width="24.1796875" style="45" customWidth="1"/>
    <col min="390" max="390" width="11.453125" style="44" bestFit="1" customWidth="1"/>
    <col min="391" max="391" width="0.81640625" style="44" customWidth="1"/>
    <col min="392" max="392" width="11.453125" style="43" bestFit="1" customWidth="1"/>
    <col min="393" max="393" width="2.81640625" style="43" customWidth="1"/>
    <col min="394" max="394" width="12.1796875" style="43" customWidth="1"/>
    <col min="395" max="395" width="1.81640625" style="43" customWidth="1"/>
    <col min="396" max="396" width="11.54296875" style="43" customWidth="1"/>
    <col min="397" max="397" width="2.1796875" style="43" customWidth="1"/>
    <col min="398" max="398" width="10.54296875" style="43" bestFit="1" customWidth="1"/>
    <col min="399" max="399" width="1" style="43" customWidth="1"/>
    <col min="400" max="400" width="11.453125" style="43" bestFit="1" customWidth="1"/>
    <col min="401" max="401" width="2.7265625" style="45" customWidth="1"/>
    <col min="402" max="402" width="24.26953125" style="45" customWidth="1"/>
    <col min="403" max="403" width="11.453125" style="44" bestFit="1" customWidth="1"/>
    <col min="404" max="404" width="0.81640625" style="44" customWidth="1"/>
    <col min="405" max="405" width="11.453125" style="43" bestFit="1" customWidth="1"/>
    <col min="406" max="406" width="2.81640625" style="43" customWidth="1"/>
    <col min="407" max="407" width="10.7265625" style="43" customWidth="1"/>
    <col min="408" max="408" width="1.81640625" style="43" customWidth="1"/>
    <col min="409" max="409" width="12.54296875" style="43" customWidth="1" outlineLevel="1"/>
    <col min="410" max="410" width="2.1796875" style="43" customWidth="1" outlineLevel="1"/>
    <col min="411" max="411" width="10.54296875" style="43" bestFit="1" customWidth="1" outlineLevel="1"/>
    <col min="412" max="412" width="1" style="43" customWidth="1"/>
    <col min="413" max="413" width="11.453125" style="43" bestFit="1" customWidth="1"/>
    <col min="414" max="414" width="2.7265625" style="45" customWidth="1"/>
    <col min="415" max="415" width="24.26953125" style="45" customWidth="1"/>
    <col min="416" max="416" width="11.453125" style="44" bestFit="1" customWidth="1"/>
    <col min="417" max="417" width="0.81640625" style="44" customWidth="1"/>
    <col min="418" max="418" width="11.453125" style="43" bestFit="1" customWidth="1"/>
    <col min="419" max="419" width="2.81640625" style="43" customWidth="1"/>
    <col min="420" max="420" width="10.7265625" style="43" customWidth="1"/>
    <col min="421" max="421" width="1.81640625" style="43" customWidth="1"/>
    <col min="422" max="422" width="10.54296875" style="43" bestFit="1" customWidth="1" outlineLevel="1"/>
    <col min="423" max="423" width="2.1796875" style="43" customWidth="1" outlineLevel="1"/>
    <col min="424" max="424" width="10.54296875" style="43" bestFit="1" customWidth="1" outlineLevel="1"/>
    <col min="425" max="425" width="1" style="43" customWidth="1"/>
    <col min="426" max="426" width="11.453125" style="43" bestFit="1" customWidth="1"/>
    <col min="427" max="427" width="2.7265625" style="45" customWidth="1"/>
    <col min="428" max="428" width="24.26953125" style="45" customWidth="1"/>
    <col min="429" max="429" width="11.453125" style="44" bestFit="1" customWidth="1"/>
    <col min="430" max="430" width="0.81640625" style="44" customWidth="1"/>
    <col min="431" max="431" width="11.453125" style="43" bestFit="1" customWidth="1"/>
    <col min="432" max="432" width="2.81640625" style="43" customWidth="1"/>
    <col min="433" max="433" width="10.7265625" style="43" customWidth="1"/>
    <col min="434" max="434" width="1.81640625" style="43" customWidth="1"/>
    <col min="435" max="435" width="10.54296875" style="43" customWidth="1" outlineLevel="1"/>
    <col min="436" max="436" width="2.1796875" style="43" customWidth="1" outlineLevel="1"/>
    <col min="437" max="437" width="10.54296875" style="43" customWidth="1" outlineLevel="1"/>
    <col min="438" max="438" width="1" style="43" customWidth="1"/>
    <col min="439" max="439" width="11.453125" style="43" bestFit="1" customWidth="1"/>
    <col min="440" max="440" width="2.7265625" style="45" customWidth="1"/>
    <col min="441" max="441" width="24.26953125" style="45" customWidth="1"/>
    <col min="442" max="442" width="11.453125" style="44" bestFit="1" customWidth="1"/>
    <col min="443" max="443" width="0.81640625" style="44" customWidth="1"/>
    <col min="444" max="444" width="11.453125" style="43" bestFit="1" customWidth="1"/>
    <col min="445" max="445" width="2.81640625" style="43" customWidth="1"/>
    <col min="446" max="446" width="10.7265625" style="43" customWidth="1"/>
    <col min="447" max="447" width="1.81640625" style="43" customWidth="1"/>
    <col min="448" max="448" width="10.54296875" style="43" customWidth="1" outlineLevel="1"/>
    <col min="449" max="449" width="2.1796875" style="43" customWidth="1" outlineLevel="1"/>
    <col min="450" max="450" width="10.54296875" style="43" customWidth="1" outlineLevel="1"/>
    <col min="451" max="451" width="1" style="43" customWidth="1"/>
    <col min="452" max="452" width="11.453125" style="43" bestFit="1" customWidth="1"/>
    <col min="453" max="453" width="2.7265625" style="45" customWidth="1"/>
    <col min="454" max="454" width="24.26953125" style="45" customWidth="1"/>
    <col min="455" max="455" width="11.453125" style="44" bestFit="1" customWidth="1"/>
    <col min="456" max="456" width="0.81640625" style="44" customWidth="1"/>
    <col min="457" max="457" width="11.453125" style="43" bestFit="1" customWidth="1"/>
    <col min="458" max="458" width="2.81640625" style="43" customWidth="1"/>
    <col min="459" max="459" width="10.7265625" style="43" customWidth="1"/>
    <col min="460" max="460" width="1.81640625" style="43" customWidth="1"/>
    <col min="461" max="461" width="10.54296875" style="43" hidden="1" customWidth="1" outlineLevel="1"/>
    <col min="462" max="462" width="2.1796875" style="43" hidden="1" customWidth="1" outlineLevel="1"/>
    <col min="463" max="463" width="10.54296875" style="43" hidden="1" customWidth="1" outlineLevel="1"/>
    <col min="464" max="464" width="1" style="43" customWidth="1" collapsed="1"/>
    <col min="465" max="465" width="11.453125" style="43" bestFit="1" customWidth="1"/>
    <col min="466" max="466" width="2.7265625" style="45" customWidth="1"/>
    <col min="467" max="467" width="24.26953125" style="45" customWidth="1"/>
    <col min="468" max="468" width="11.453125" style="44" bestFit="1" customWidth="1"/>
    <col min="469" max="469" width="0.81640625" style="44" customWidth="1"/>
    <col min="470" max="470" width="11.453125" style="43" bestFit="1" customWidth="1"/>
    <col min="471" max="471" width="2.81640625" style="43" customWidth="1"/>
    <col min="472" max="472" width="10.7265625" style="43" customWidth="1"/>
    <col min="473" max="473" width="1.81640625" style="43" customWidth="1"/>
    <col min="474" max="474" width="10.54296875" style="43" bestFit="1" customWidth="1" outlineLevel="1"/>
    <col min="475" max="475" width="2.1796875" style="43" customWidth="1" outlineLevel="1"/>
    <col min="476" max="476" width="10.54296875" style="43" bestFit="1" customWidth="1" outlineLevel="1"/>
    <col min="477" max="477" width="1" style="43" customWidth="1"/>
    <col min="478" max="478" width="11.453125" style="43" bestFit="1" customWidth="1"/>
    <col min="479" max="479" width="2.7265625" style="45" customWidth="1"/>
    <col min="480" max="480" width="24.26953125" style="45" customWidth="1"/>
    <col min="481" max="481" width="11.453125" style="44" bestFit="1" customWidth="1"/>
    <col min="482" max="482" width="0.81640625" style="44" customWidth="1"/>
    <col min="483" max="483" width="11.453125" style="43" bestFit="1" customWidth="1"/>
    <col min="484" max="484" width="2.81640625" style="43" customWidth="1"/>
    <col min="485" max="485" width="10.7265625" style="43" customWidth="1"/>
    <col min="486" max="486" width="1.81640625" style="43" customWidth="1"/>
    <col min="487" max="487" width="10.54296875" style="43" bestFit="1" customWidth="1" outlineLevel="1"/>
    <col min="488" max="488" width="2.1796875" style="43" customWidth="1" outlineLevel="1"/>
    <col min="489" max="489" width="10.54296875" style="43" bestFit="1" customWidth="1" outlineLevel="1"/>
    <col min="490" max="490" width="1" style="43" customWidth="1"/>
    <col min="491" max="491" width="11.453125" style="43" bestFit="1" customWidth="1"/>
    <col min="492" max="492" width="2.7265625" style="45" customWidth="1"/>
    <col min="493" max="493" width="24.26953125" style="45" customWidth="1"/>
    <col min="494" max="494" width="11.453125" style="44" bestFit="1" customWidth="1"/>
    <col min="495" max="495" width="0.81640625" style="44" customWidth="1"/>
    <col min="496" max="496" width="11.453125" style="43" bestFit="1" customWidth="1"/>
    <col min="497" max="497" width="2.81640625" style="43" customWidth="1"/>
    <col min="498" max="498" width="10.7265625" style="43" customWidth="1"/>
    <col min="499" max="499" width="1.81640625" style="43" customWidth="1"/>
    <col min="500" max="500" width="10.54296875" style="43" bestFit="1" customWidth="1" outlineLevel="1"/>
    <col min="501" max="501" width="2.1796875" style="43" customWidth="1" outlineLevel="1"/>
    <col min="502" max="502" width="10.54296875" style="43" bestFit="1" customWidth="1" outlineLevel="1"/>
    <col min="503" max="503" width="1" style="43" customWidth="1"/>
    <col min="504" max="504" width="11.453125" style="43" bestFit="1" customWidth="1"/>
    <col min="505" max="505" width="2.7265625" style="45" customWidth="1"/>
    <col min="506" max="506" width="24.26953125" style="45" customWidth="1"/>
    <col min="507" max="507" width="11.453125" style="44" bestFit="1" customWidth="1"/>
    <col min="508" max="508" width="0.81640625" style="44" customWidth="1"/>
    <col min="509" max="509" width="11.453125" style="43" bestFit="1" customWidth="1"/>
    <col min="510" max="510" width="2.81640625" style="43" customWidth="1"/>
    <col min="511" max="511" width="10.7265625" style="43" customWidth="1"/>
    <col min="512" max="512" width="1.81640625" style="43" customWidth="1"/>
    <col min="513" max="513" width="10.54296875" style="43" bestFit="1" customWidth="1" outlineLevel="1"/>
    <col min="514" max="514" width="2.1796875" style="43" customWidth="1" outlineLevel="1"/>
    <col min="515" max="515" width="10.54296875" style="43" bestFit="1" customWidth="1" outlineLevel="1"/>
    <col min="516" max="516" width="1" style="43" customWidth="1"/>
    <col min="517" max="517" width="11.453125" style="43" bestFit="1" customWidth="1"/>
    <col min="518" max="518" width="3.81640625" style="45" customWidth="1"/>
    <col min="519" max="519" width="24.26953125" style="45" customWidth="1"/>
    <col min="520" max="520" width="11.453125" style="44" bestFit="1" customWidth="1"/>
    <col min="521" max="521" width="0.81640625" style="44" customWidth="1"/>
    <col min="522" max="522" width="11.453125" style="43" bestFit="1" customWidth="1"/>
    <col min="523" max="523" width="1.81640625" style="43" customWidth="1"/>
    <col min="524" max="524" width="10.7265625" style="43" customWidth="1"/>
    <col min="525" max="525" width="1.81640625" style="43" customWidth="1"/>
    <col min="526" max="526" width="10.54296875" style="43" bestFit="1" customWidth="1" outlineLevel="1"/>
    <col min="527" max="527" width="2.1796875" style="43" customWidth="1" outlineLevel="1"/>
    <col min="528" max="528" width="10.54296875" style="43" bestFit="1" customWidth="1" outlineLevel="1"/>
    <col min="529" max="529" width="1" style="43" customWidth="1"/>
    <col min="530" max="530" width="11.453125" style="43" bestFit="1" customWidth="1"/>
    <col min="531" max="531" width="3.81640625" style="45" customWidth="1"/>
    <col min="532" max="532" width="24.26953125" style="45" customWidth="1"/>
    <col min="533" max="533" width="11.453125" style="44" bestFit="1" customWidth="1"/>
    <col min="534" max="534" width="0.81640625" style="44" customWidth="1"/>
    <col min="535" max="535" width="11.453125" style="43" bestFit="1" customWidth="1"/>
    <col min="536" max="536" width="2.81640625" style="43" customWidth="1"/>
    <col min="537" max="537" width="10.7265625" style="43" customWidth="1"/>
    <col min="538" max="538" width="1.81640625" style="43" customWidth="1"/>
    <col min="539" max="539" width="10.54296875" style="43" bestFit="1" customWidth="1" outlineLevel="1"/>
    <col min="540" max="540" width="2.1796875" style="43" customWidth="1" outlineLevel="1"/>
    <col min="541" max="541" width="10.54296875" style="43" bestFit="1" customWidth="1" outlineLevel="1"/>
    <col min="542" max="542" width="1" style="43" customWidth="1"/>
    <col min="543" max="543" width="11.453125" style="43" bestFit="1" customWidth="1"/>
    <col min="544" max="544" width="2.7265625" style="45" customWidth="1"/>
    <col min="545" max="545" width="24.26953125" style="45" customWidth="1"/>
    <col min="546" max="546" width="11.453125" style="44" bestFit="1" customWidth="1"/>
    <col min="547" max="547" width="0.81640625" style="44" customWidth="1"/>
    <col min="548" max="548" width="11.453125" style="43" bestFit="1" customWidth="1"/>
    <col min="549" max="549" width="2.81640625" style="43" customWidth="1"/>
    <col min="550" max="550" width="10.7265625" style="43" customWidth="1"/>
    <col min="551" max="551" width="1.81640625" style="43" customWidth="1"/>
    <col min="552" max="552" width="10.54296875" style="43" bestFit="1" customWidth="1" outlineLevel="1"/>
    <col min="553" max="553" width="2.1796875" style="43" customWidth="1" outlineLevel="1"/>
    <col min="554" max="554" width="10.54296875" style="43" bestFit="1" customWidth="1" outlineLevel="1"/>
    <col min="555" max="555" width="1" style="43" customWidth="1"/>
    <col min="556" max="556" width="11.453125" style="43" bestFit="1" customWidth="1"/>
    <col min="557" max="557" width="2.7265625" style="45" customWidth="1"/>
    <col min="558" max="558" width="24.26953125" style="45" customWidth="1"/>
    <col min="559" max="559" width="11.453125" style="44" bestFit="1" customWidth="1"/>
    <col min="560" max="560" width="0.81640625" style="44" customWidth="1"/>
    <col min="561" max="561" width="11.453125" style="43" bestFit="1" customWidth="1"/>
    <col min="562" max="562" width="2.81640625" style="43" customWidth="1"/>
    <col min="563" max="563" width="10.7265625" style="43" customWidth="1"/>
    <col min="564" max="564" width="1.81640625" style="43" customWidth="1"/>
    <col min="565" max="565" width="10.54296875" style="43" bestFit="1" customWidth="1" outlineLevel="1"/>
    <col min="566" max="566" width="2.1796875" style="43" customWidth="1" outlineLevel="1"/>
    <col min="567" max="567" width="10.54296875" style="43" bestFit="1" customWidth="1" outlineLevel="1"/>
    <col min="568" max="568" width="1" style="43" customWidth="1"/>
    <col min="569" max="569" width="11.453125" style="43" bestFit="1" customWidth="1"/>
    <col min="570" max="570" width="3.81640625" style="45" customWidth="1"/>
    <col min="571" max="571" width="24.26953125" style="45" customWidth="1"/>
    <col min="572" max="572" width="11.453125" style="44" bestFit="1" customWidth="1"/>
    <col min="573" max="573" width="0.81640625" style="44" customWidth="1"/>
    <col min="574" max="574" width="11.453125" style="43" bestFit="1" customWidth="1"/>
    <col min="575" max="575" width="1.81640625" style="43" customWidth="1"/>
    <col min="576" max="576" width="10.7265625" style="43" customWidth="1"/>
    <col min="577" max="577" width="1.81640625" style="43" customWidth="1"/>
    <col min="578" max="578" width="10.54296875" style="43" bestFit="1" customWidth="1" outlineLevel="1"/>
    <col min="579" max="579" width="2.1796875" style="43" customWidth="1" outlineLevel="1"/>
    <col min="580" max="580" width="10.54296875" style="43" bestFit="1" customWidth="1" outlineLevel="1"/>
    <col min="581" max="581" width="1" style="43" customWidth="1"/>
    <col min="582" max="582" width="11.453125" style="43" bestFit="1" customWidth="1"/>
    <col min="583" max="583" width="3.81640625" style="45" customWidth="1"/>
    <col min="584" max="584" width="24.26953125" style="45" customWidth="1"/>
    <col min="585" max="585" width="11.453125" style="44" bestFit="1" customWidth="1"/>
    <col min="586" max="586" width="0.81640625" style="44" customWidth="1"/>
    <col min="587" max="587" width="11.453125" style="43" bestFit="1" customWidth="1"/>
    <col min="588" max="588" width="1" style="43" hidden="1" customWidth="1"/>
    <col min="589" max="589" width="10.7265625" style="43" customWidth="1"/>
    <col min="590" max="590" width="1" style="43" customWidth="1"/>
    <col min="591" max="591" width="10.7265625" style="43" customWidth="1" outlineLevel="1"/>
    <col min="592" max="592" width="1" style="43" customWidth="1" outlineLevel="1"/>
    <col min="593" max="593" width="10.54296875" style="43" bestFit="1" customWidth="1" outlineLevel="1"/>
    <col min="594" max="594" width="1" style="43" customWidth="1"/>
    <col min="595" max="595" width="11.7265625" style="43" customWidth="1"/>
    <col min="596" max="596" width="3.1796875" style="45" customWidth="1"/>
    <col min="597" max="597" width="24.26953125" style="45" customWidth="1"/>
    <col min="598" max="598" width="11.81640625" style="44" customWidth="1"/>
    <col min="599" max="599" width="0.81640625" style="44" customWidth="1"/>
    <col min="600" max="600" width="11.453125" style="43" bestFit="1" customWidth="1"/>
    <col min="601" max="601" width="1" style="43" hidden="1" customWidth="1"/>
    <col min="602" max="602" width="10.7265625" style="43" customWidth="1"/>
    <col min="603" max="603" width="1" style="43" customWidth="1"/>
    <col min="604" max="604" width="10.7265625" style="43" customWidth="1" outlineLevel="1"/>
    <col min="605" max="605" width="1" style="43" customWidth="1" outlineLevel="1"/>
    <col min="606" max="606" width="10.7265625" style="43" customWidth="1" outlineLevel="1"/>
    <col min="607" max="607" width="1" style="43" customWidth="1"/>
    <col min="608" max="608" width="12" style="43" customWidth="1"/>
    <col min="609" max="609" width="3.1796875" style="45" customWidth="1"/>
    <col min="610" max="610" width="24.26953125" style="45" customWidth="1"/>
    <col min="611" max="611" width="11.453125" style="44" bestFit="1" customWidth="1"/>
    <col min="612" max="612" width="0.81640625" style="44" customWidth="1"/>
    <col min="613" max="613" width="11.453125" style="43" bestFit="1" customWidth="1"/>
    <col min="614" max="614" width="2.81640625" style="43" customWidth="1"/>
    <col min="615" max="615" width="10.7265625" style="43" customWidth="1"/>
    <col min="616" max="616" width="1.81640625" style="43" customWidth="1"/>
    <col min="617" max="617" width="10.54296875" style="43" bestFit="1" customWidth="1" outlineLevel="1"/>
    <col min="618" max="618" width="2.1796875" style="43" customWidth="1" outlineLevel="1"/>
    <col min="619" max="619" width="10.54296875" style="43" bestFit="1" customWidth="1" outlineLevel="1"/>
    <col min="620" max="620" width="1" style="43" customWidth="1"/>
    <col min="621" max="621" width="11.453125" style="43" bestFit="1" customWidth="1"/>
    <col min="622" max="622" width="3.453125" style="45" customWidth="1"/>
    <col min="623" max="623" width="24.26953125" style="45" customWidth="1"/>
    <col min="624" max="624" width="11.453125" style="44" bestFit="1" customWidth="1"/>
    <col min="625" max="625" width="0.81640625" style="44" customWidth="1"/>
    <col min="626" max="626" width="11.453125" style="43" bestFit="1" customWidth="1"/>
    <col min="627" max="627" width="2.81640625" style="43" customWidth="1"/>
    <col min="628" max="628" width="10.7265625" style="43" customWidth="1"/>
    <col min="629" max="629" width="1.81640625" style="43" customWidth="1"/>
    <col min="630" max="630" width="10.54296875" style="43" bestFit="1" customWidth="1" outlineLevel="1"/>
    <col min="631" max="631" width="2.1796875" style="43" customWidth="1" outlineLevel="1"/>
    <col min="632" max="632" width="10.54296875" style="43" bestFit="1" customWidth="1" outlineLevel="1"/>
    <col min="633" max="633" width="1" style="43" customWidth="1"/>
    <col min="634" max="634" width="11.453125" style="43" bestFit="1" customWidth="1"/>
    <col min="635" max="635" width="3.453125" style="45" customWidth="1"/>
    <col min="636" max="636" width="24.26953125" style="45" customWidth="1"/>
    <col min="637" max="637" width="11.453125" style="44" bestFit="1" customWidth="1"/>
    <col min="638" max="638" width="0.81640625" style="44" customWidth="1"/>
    <col min="639" max="639" width="11.453125" style="43" bestFit="1" customWidth="1"/>
    <col min="640" max="640" width="2.81640625" style="43" customWidth="1"/>
    <col min="641" max="641" width="10.7265625" style="43" customWidth="1"/>
    <col min="642" max="642" width="1.81640625" style="43" customWidth="1"/>
    <col min="643" max="643" width="10.54296875" style="43" bestFit="1" customWidth="1" outlineLevel="1"/>
    <col min="644" max="644" width="2.1796875" style="43" customWidth="1" outlineLevel="1"/>
    <col min="645" max="645" width="10.54296875" style="43" bestFit="1" customWidth="1" outlineLevel="1"/>
    <col min="646" max="646" width="1" style="43" customWidth="1"/>
    <col min="647" max="647" width="11.453125" style="43" bestFit="1" customWidth="1"/>
    <col min="648" max="648" width="3.453125" style="45" customWidth="1"/>
    <col min="649" max="649" width="24.26953125" style="45" customWidth="1"/>
    <col min="650" max="650" width="11.453125" style="44" bestFit="1" customWidth="1"/>
    <col min="651" max="651" width="0.81640625" style="44" customWidth="1"/>
    <col min="652" max="652" width="10.26953125" style="43" customWidth="1"/>
    <col min="653" max="653" width="1" style="43" hidden="1" customWidth="1"/>
    <col min="654" max="654" width="11.453125" style="43" bestFit="1" customWidth="1"/>
    <col min="655" max="655" width="1.453125" style="43" bestFit="1" customWidth="1"/>
    <col min="656" max="656" width="10.7265625" style="43" customWidth="1"/>
    <col min="657" max="657" width="1" style="43" customWidth="1"/>
    <col min="658" max="658" width="10.54296875" style="43" bestFit="1" customWidth="1"/>
    <col min="659" max="659" width="2" style="43" customWidth="1"/>
    <col min="660" max="660" width="11.453125" style="43" bestFit="1" customWidth="1"/>
    <col min="661" max="879" width="9.1796875" style="45" customWidth="1"/>
    <col min="880" max="16384" width="9.1796875" style="45"/>
  </cols>
  <sheetData>
    <row r="1" spans="1:660" ht="11.25" customHeight="1">
      <c r="TL1" s="45" t="s">
        <v>204</v>
      </c>
    </row>
    <row r="2" spans="1:660" ht="13">
      <c r="B2" s="204" t="s">
        <v>323</v>
      </c>
      <c r="C2" s="204"/>
      <c r="D2" s="204"/>
      <c r="E2" s="204"/>
      <c r="F2" s="204"/>
      <c r="G2" s="204"/>
      <c r="H2" s="204"/>
      <c r="I2" s="204"/>
      <c r="J2" s="204"/>
      <c r="K2" s="204"/>
      <c r="L2" s="204"/>
      <c r="P2" s="204" t="s">
        <v>322</v>
      </c>
      <c r="Q2" s="204"/>
      <c r="R2" s="204"/>
      <c r="S2" s="204"/>
      <c r="T2" s="204"/>
      <c r="U2" s="204"/>
      <c r="V2" s="204"/>
      <c r="W2" s="204"/>
      <c r="X2" s="204"/>
      <c r="Y2" s="204"/>
      <c r="Z2" s="204"/>
      <c r="AD2" s="204" t="s">
        <v>321</v>
      </c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R2" s="204" t="s">
        <v>320</v>
      </c>
      <c r="AS2" s="204"/>
      <c r="AT2" s="204"/>
      <c r="AU2" s="204"/>
      <c r="AV2" s="204"/>
      <c r="AW2" s="204"/>
      <c r="AX2" s="204"/>
      <c r="AY2" s="204"/>
      <c r="AZ2" s="204"/>
      <c r="BA2" s="204"/>
      <c r="BB2" s="204"/>
      <c r="BF2" s="204" t="s">
        <v>315</v>
      </c>
      <c r="BG2" s="204"/>
      <c r="BH2" s="204"/>
      <c r="BI2" s="204"/>
      <c r="BJ2" s="204"/>
      <c r="BK2" s="204"/>
      <c r="BL2" s="204"/>
      <c r="BM2" s="204"/>
      <c r="BN2" s="204"/>
      <c r="BO2" s="204"/>
      <c r="BP2" s="204"/>
      <c r="BT2" s="204" t="s">
        <v>316</v>
      </c>
      <c r="BU2" s="204"/>
      <c r="BV2" s="204"/>
      <c r="BW2" s="204"/>
      <c r="BX2" s="204"/>
      <c r="BY2" s="204"/>
      <c r="BZ2" s="204"/>
      <c r="CA2" s="204"/>
      <c r="CB2" s="204"/>
      <c r="CC2" s="204"/>
      <c r="CD2" s="204"/>
      <c r="CH2" s="204" t="s">
        <v>317</v>
      </c>
      <c r="CI2" s="204"/>
      <c r="CJ2" s="204"/>
      <c r="CK2" s="204"/>
      <c r="CL2" s="204"/>
      <c r="CM2" s="204"/>
      <c r="CN2" s="204"/>
      <c r="CO2" s="204"/>
      <c r="CP2" s="204"/>
      <c r="CQ2" s="204"/>
      <c r="CR2" s="204"/>
      <c r="CV2" s="204" t="s">
        <v>312</v>
      </c>
      <c r="CW2" s="204"/>
      <c r="CX2" s="204"/>
      <c r="CY2" s="204"/>
      <c r="CZ2" s="204"/>
      <c r="DA2" s="204"/>
      <c r="DB2" s="204"/>
      <c r="DC2" s="204"/>
      <c r="DD2" s="204"/>
      <c r="DE2" s="204"/>
      <c r="DF2" s="204"/>
      <c r="DJ2" s="204" t="s">
        <v>302</v>
      </c>
      <c r="DK2" s="204"/>
      <c r="DL2" s="204"/>
      <c r="DM2" s="204"/>
      <c r="DN2" s="204"/>
      <c r="DO2" s="204"/>
      <c r="DP2" s="204"/>
      <c r="DQ2" s="204"/>
      <c r="DR2" s="204"/>
      <c r="DS2" s="204"/>
      <c r="DT2" s="204"/>
      <c r="DX2" s="204" t="s">
        <v>303</v>
      </c>
      <c r="DY2" s="204"/>
      <c r="DZ2" s="204"/>
      <c r="EA2" s="204"/>
      <c r="EB2" s="204"/>
      <c r="EC2" s="204"/>
      <c r="ED2" s="204"/>
      <c r="EE2" s="204"/>
      <c r="EF2" s="204"/>
      <c r="EG2" s="204"/>
      <c r="EH2" s="204"/>
      <c r="EL2" s="204" t="s">
        <v>304</v>
      </c>
      <c r="EM2" s="204"/>
      <c r="EN2" s="204"/>
      <c r="EO2" s="204"/>
      <c r="EP2" s="204"/>
      <c r="EQ2" s="204"/>
      <c r="ER2" s="204"/>
      <c r="ES2" s="204"/>
      <c r="ET2" s="204"/>
      <c r="EU2" s="204"/>
      <c r="EV2" s="204"/>
      <c r="EZ2" s="204" t="s">
        <v>305</v>
      </c>
      <c r="FA2" s="204"/>
      <c r="FB2" s="204"/>
      <c r="FC2" s="204"/>
      <c r="FD2" s="204"/>
      <c r="FE2" s="204"/>
      <c r="FF2" s="204"/>
      <c r="FG2" s="204"/>
      <c r="FH2" s="204"/>
      <c r="FI2" s="204"/>
      <c r="FJ2" s="204"/>
      <c r="FN2" s="204" t="s">
        <v>298</v>
      </c>
      <c r="FO2" s="204"/>
      <c r="FP2" s="204"/>
      <c r="FQ2" s="204"/>
      <c r="FR2" s="204"/>
      <c r="FS2" s="204"/>
      <c r="FT2" s="204"/>
      <c r="FU2" s="204"/>
      <c r="FV2" s="204"/>
      <c r="FW2" s="204"/>
      <c r="FX2" s="204"/>
      <c r="GB2" s="204" t="s">
        <v>297</v>
      </c>
      <c r="GC2" s="204"/>
      <c r="GD2" s="204"/>
      <c r="GE2" s="204"/>
      <c r="GF2" s="204"/>
      <c r="GG2" s="204"/>
      <c r="GH2" s="204"/>
      <c r="GI2" s="204"/>
      <c r="GJ2" s="204"/>
      <c r="GK2" s="204"/>
      <c r="GL2" s="204"/>
      <c r="GP2" s="204" t="s">
        <v>296</v>
      </c>
      <c r="GQ2" s="204"/>
      <c r="GR2" s="204"/>
      <c r="GS2" s="204"/>
      <c r="GT2" s="204"/>
      <c r="GU2" s="204"/>
      <c r="GV2" s="204"/>
      <c r="GW2" s="204"/>
      <c r="GX2" s="204"/>
      <c r="GY2" s="204"/>
      <c r="GZ2" s="204"/>
      <c r="HD2" s="204" t="s">
        <v>295</v>
      </c>
      <c r="HE2" s="204"/>
      <c r="HF2" s="204"/>
      <c r="HG2" s="204"/>
      <c r="HH2" s="204"/>
      <c r="HI2" s="204"/>
      <c r="HJ2" s="204"/>
      <c r="HK2" s="204"/>
      <c r="HL2" s="204"/>
      <c r="HM2" s="204"/>
      <c r="HN2" s="204"/>
      <c r="HR2" s="204" t="s">
        <v>287</v>
      </c>
      <c r="HS2" s="204"/>
      <c r="HT2" s="204"/>
      <c r="HU2" s="204"/>
      <c r="HV2" s="204"/>
      <c r="HW2" s="204"/>
      <c r="HX2" s="204"/>
      <c r="HY2" s="204"/>
      <c r="HZ2" s="204"/>
      <c r="IA2" s="204"/>
      <c r="IB2" s="204"/>
      <c r="IF2" s="204" t="s">
        <v>286</v>
      </c>
      <c r="IG2" s="204"/>
      <c r="IH2" s="204"/>
      <c r="II2" s="204"/>
      <c r="IJ2" s="204"/>
      <c r="IK2" s="204"/>
      <c r="IL2" s="204"/>
      <c r="IM2" s="204"/>
      <c r="IN2" s="204"/>
      <c r="IO2" s="204"/>
      <c r="IP2" s="204"/>
      <c r="IT2" s="204" t="s">
        <v>285</v>
      </c>
      <c r="IU2" s="204"/>
      <c r="IV2" s="204"/>
      <c r="IW2" s="204"/>
      <c r="IX2" s="204"/>
      <c r="IY2" s="204"/>
      <c r="IZ2" s="204"/>
      <c r="JA2" s="204"/>
      <c r="JB2" s="204"/>
      <c r="JC2" s="204"/>
      <c r="JD2" s="204"/>
      <c r="JH2" s="204" t="s">
        <v>284</v>
      </c>
      <c r="JI2" s="204"/>
      <c r="JJ2" s="204"/>
      <c r="JK2" s="204"/>
      <c r="JL2" s="204"/>
      <c r="JM2" s="204"/>
      <c r="JN2" s="204"/>
      <c r="JO2" s="204"/>
      <c r="JP2" s="204"/>
      <c r="JQ2" s="204"/>
      <c r="JR2" s="204"/>
      <c r="JV2" s="204" t="s">
        <v>276</v>
      </c>
      <c r="JW2" s="204"/>
      <c r="JX2" s="204"/>
      <c r="JY2" s="204"/>
      <c r="JZ2" s="204"/>
      <c r="KA2" s="204"/>
      <c r="KB2" s="204"/>
      <c r="KC2" s="204"/>
      <c r="KD2" s="204"/>
      <c r="KE2" s="204"/>
      <c r="KF2" s="204"/>
      <c r="KJ2" s="204" t="s">
        <v>275</v>
      </c>
      <c r="KK2" s="204"/>
      <c r="KL2" s="204"/>
      <c r="KM2" s="204"/>
      <c r="KN2" s="204"/>
      <c r="KO2" s="204"/>
      <c r="KP2" s="204"/>
      <c r="KQ2" s="204"/>
      <c r="KR2" s="204"/>
      <c r="KS2" s="204"/>
      <c r="KT2" s="204"/>
      <c r="KX2" s="204" t="s">
        <v>274</v>
      </c>
      <c r="KY2" s="204"/>
      <c r="KZ2" s="204"/>
      <c r="LA2" s="204"/>
      <c r="LB2" s="204"/>
      <c r="LC2" s="204"/>
      <c r="LD2" s="204"/>
      <c r="LE2" s="204"/>
      <c r="LF2" s="204"/>
      <c r="LG2" s="204"/>
      <c r="LH2" s="204"/>
      <c r="LK2" s="204" t="s">
        <v>273</v>
      </c>
      <c r="LL2" s="204"/>
      <c r="LM2" s="204"/>
      <c r="LN2" s="204"/>
      <c r="LO2" s="204"/>
      <c r="LP2" s="205"/>
      <c r="LQ2" s="204"/>
      <c r="LR2" s="204"/>
      <c r="LS2" s="204"/>
      <c r="LT2" s="204"/>
      <c r="LU2" s="204"/>
      <c r="LV2" s="170"/>
      <c r="LX2" s="204" t="s">
        <v>262</v>
      </c>
      <c r="LY2" s="204"/>
      <c r="LZ2" s="204"/>
      <c r="MA2" s="204"/>
      <c r="MB2" s="204"/>
      <c r="MC2" s="204"/>
      <c r="MD2" s="204"/>
      <c r="ME2" s="204"/>
      <c r="MF2" s="204"/>
      <c r="MG2" s="204"/>
      <c r="MH2" s="204"/>
      <c r="ML2" s="204" t="s">
        <v>261</v>
      </c>
      <c r="MM2" s="204"/>
      <c r="MN2" s="204"/>
      <c r="MO2" s="204"/>
      <c r="MP2" s="204"/>
      <c r="MQ2" s="204"/>
      <c r="MR2" s="204"/>
      <c r="MS2" s="204"/>
      <c r="MT2" s="204"/>
      <c r="MU2" s="204"/>
      <c r="MV2" s="204"/>
      <c r="MZ2" s="204" t="s">
        <v>260</v>
      </c>
      <c r="NA2" s="204"/>
      <c r="NB2" s="204"/>
      <c r="NC2" s="204"/>
      <c r="ND2" s="204"/>
      <c r="NE2" s="204"/>
      <c r="NF2" s="204"/>
      <c r="NG2" s="204"/>
      <c r="NH2" s="204"/>
      <c r="NI2" s="204"/>
      <c r="NJ2" s="204"/>
      <c r="NM2" s="204" t="s">
        <v>259</v>
      </c>
      <c r="NN2" s="204"/>
      <c r="NO2" s="204"/>
      <c r="NP2" s="204"/>
      <c r="NQ2" s="204"/>
      <c r="NR2" s="205"/>
      <c r="NS2" s="204"/>
      <c r="NT2" s="204"/>
      <c r="NU2" s="204"/>
      <c r="NV2" s="204"/>
      <c r="NW2" s="204"/>
      <c r="NZ2" s="204" t="s">
        <v>239</v>
      </c>
      <c r="OA2" s="204"/>
      <c r="OB2" s="204"/>
      <c r="OC2" s="204"/>
      <c r="OD2" s="204"/>
      <c r="OE2" s="204"/>
      <c r="OF2" s="204"/>
      <c r="OG2" s="204"/>
      <c r="OH2" s="204"/>
      <c r="OI2" s="204"/>
      <c r="OJ2" s="204"/>
      <c r="OK2" s="70"/>
      <c r="OM2" s="204" t="s">
        <v>241</v>
      </c>
      <c r="ON2" s="204"/>
      <c r="OO2" s="204"/>
      <c r="OP2" s="204"/>
      <c r="OQ2" s="204"/>
      <c r="OR2" s="204"/>
      <c r="OS2" s="204"/>
      <c r="OT2" s="204"/>
      <c r="OU2" s="204"/>
      <c r="OV2" s="204"/>
      <c r="OW2" s="204"/>
      <c r="OX2" s="70"/>
      <c r="OZ2" s="204" t="s">
        <v>242</v>
      </c>
      <c r="PA2" s="204"/>
      <c r="PB2" s="204"/>
      <c r="PC2" s="204"/>
      <c r="PD2" s="204"/>
      <c r="PE2" s="204"/>
      <c r="PF2" s="204"/>
      <c r="PG2" s="204"/>
      <c r="PH2" s="204"/>
      <c r="PI2" s="204"/>
      <c r="PJ2" s="204"/>
      <c r="PK2" s="70"/>
      <c r="PM2" s="204" t="s">
        <v>243</v>
      </c>
      <c r="PN2" s="204"/>
      <c r="PO2" s="204"/>
      <c r="PP2" s="204"/>
      <c r="PQ2" s="204"/>
      <c r="PR2" s="204"/>
      <c r="PS2" s="204"/>
      <c r="PT2" s="204"/>
      <c r="PU2" s="204"/>
      <c r="PV2" s="204"/>
      <c r="PW2" s="204"/>
      <c r="PX2" s="70"/>
      <c r="PZ2" s="204" t="s">
        <v>244</v>
      </c>
      <c r="QA2" s="204"/>
      <c r="QB2" s="204"/>
      <c r="QC2" s="204"/>
      <c r="QD2" s="204"/>
      <c r="QE2" s="204"/>
      <c r="QF2" s="204"/>
      <c r="QG2" s="204"/>
      <c r="QH2" s="204"/>
      <c r="QI2" s="204"/>
      <c r="QJ2" s="204"/>
      <c r="QK2" s="70"/>
      <c r="QM2" s="204" t="s">
        <v>245</v>
      </c>
      <c r="QN2" s="204"/>
      <c r="QO2" s="204"/>
      <c r="QP2" s="204"/>
      <c r="QQ2" s="204"/>
      <c r="QR2" s="204"/>
      <c r="QS2" s="204"/>
      <c r="QT2" s="204"/>
      <c r="QU2" s="204"/>
      <c r="QV2" s="204"/>
      <c r="QW2" s="204"/>
      <c r="QX2" s="70"/>
      <c r="QZ2" s="204" t="s">
        <v>246</v>
      </c>
      <c r="RA2" s="204"/>
      <c r="RB2" s="204"/>
      <c r="RC2" s="204"/>
      <c r="RD2" s="204"/>
      <c r="RE2" s="204"/>
      <c r="RF2" s="204"/>
      <c r="RG2" s="204"/>
      <c r="RH2" s="204"/>
      <c r="RI2" s="204"/>
      <c r="RJ2" s="204"/>
      <c r="RK2" s="70"/>
      <c r="RM2" s="204" t="s">
        <v>221</v>
      </c>
      <c r="RN2" s="204"/>
      <c r="RO2" s="204"/>
      <c r="RP2" s="204"/>
      <c r="RQ2" s="204"/>
      <c r="RR2" s="204"/>
      <c r="RS2" s="204"/>
      <c r="RT2" s="204"/>
      <c r="RU2" s="204"/>
      <c r="RV2" s="204"/>
      <c r="RW2" s="204"/>
      <c r="RX2" s="70"/>
      <c r="RZ2" s="204" t="s">
        <v>222</v>
      </c>
      <c r="SA2" s="204"/>
      <c r="SB2" s="204"/>
      <c r="SC2" s="204"/>
      <c r="SD2" s="204"/>
      <c r="SE2" s="204"/>
      <c r="SF2" s="204"/>
      <c r="SG2" s="204"/>
      <c r="SH2" s="204"/>
      <c r="SI2" s="204"/>
      <c r="SJ2" s="204"/>
      <c r="SK2" s="70"/>
      <c r="SL2" s="70"/>
      <c r="SM2" s="204" t="s">
        <v>223</v>
      </c>
      <c r="SN2" s="204"/>
      <c r="SO2" s="204"/>
      <c r="SP2" s="204"/>
      <c r="SQ2" s="204"/>
      <c r="SR2" s="204"/>
      <c r="SS2" s="204"/>
      <c r="ST2" s="204"/>
      <c r="SU2" s="204"/>
      <c r="SV2" s="204"/>
      <c r="SW2" s="204"/>
      <c r="SX2" s="70"/>
      <c r="SY2" s="70"/>
      <c r="SZ2" s="204" t="s">
        <v>224</v>
      </c>
      <c r="TA2" s="204"/>
      <c r="TB2" s="204"/>
      <c r="TC2" s="204"/>
      <c r="TD2" s="204"/>
      <c r="TE2" s="204"/>
      <c r="TF2" s="204"/>
      <c r="TG2" s="204"/>
      <c r="TH2" s="204"/>
      <c r="TI2" s="204"/>
      <c r="TJ2" s="204"/>
      <c r="TK2" s="70"/>
      <c r="TM2" s="204" t="s">
        <v>213</v>
      </c>
      <c r="TN2" s="204"/>
      <c r="TO2" s="204"/>
      <c r="TP2" s="204"/>
      <c r="TQ2" s="204"/>
      <c r="TR2" s="204"/>
      <c r="TS2" s="204"/>
      <c r="TT2" s="204"/>
      <c r="TU2" s="204"/>
      <c r="TV2" s="204"/>
      <c r="TW2" s="204"/>
      <c r="TX2" s="70"/>
      <c r="TZ2" s="204" t="s">
        <v>201</v>
      </c>
      <c r="UA2" s="204"/>
      <c r="UB2" s="204"/>
      <c r="UC2" s="204"/>
      <c r="UD2" s="204"/>
      <c r="UE2" s="204"/>
      <c r="UF2" s="204"/>
      <c r="UG2" s="204"/>
      <c r="UH2" s="204"/>
      <c r="UI2" s="204"/>
      <c r="UJ2" s="204"/>
      <c r="UK2" s="70"/>
      <c r="UL2" s="70"/>
      <c r="UM2" s="204" t="s">
        <v>186</v>
      </c>
      <c r="UN2" s="204"/>
      <c r="UO2" s="204"/>
      <c r="UP2" s="204"/>
      <c r="UQ2" s="204"/>
      <c r="UR2" s="204"/>
      <c r="US2" s="204"/>
      <c r="UT2" s="204"/>
      <c r="UU2" s="204"/>
      <c r="UV2" s="204"/>
      <c r="UW2" s="204"/>
      <c r="UX2" s="70"/>
      <c r="UY2" s="70"/>
      <c r="UZ2" s="204" t="s">
        <v>185</v>
      </c>
      <c r="VA2" s="204"/>
      <c r="VB2" s="204"/>
      <c r="VC2" s="204"/>
      <c r="VD2" s="204"/>
      <c r="VE2" s="204"/>
      <c r="VF2" s="204"/>
      <c r="VG2" s="204"/>
      <c r="VH2" s="204"/>
      <c r="VI2" s="204"/>
      <c r="VJ2" s="204"/>
      <c r="VK2" s="70"/>
      <c r="VL2" s="110" t="s">
        <v>179</v>
      </c>
      <c r="VM2" s="204" t="str">
        <f xml:space="preserve"> "Segmenty operacyjne za okres 12m-cy zakończonych 31.12.2014 PO korekcie błędu"</f>
        <v>Segmenty operacyjne za okres 12m-cy zakończonych 31.12.2014 PO korekcie błędu</v>
      </c>
      <c r="VN2" s="204"/>
      <c r="VO2" s="204"/>
      <c r="VP2" s="204"/>
      <c r="VQ2" s="204"/>
      <c r="VR2" s="204"/>
      <c r="VS2" s="204"/>
      <c r="VT2" s="204"/>
      <c r="VU2" s="204"/>
      <c r="VV2" s="204"/>
      <c r="VW2" s="204"/>
      <c r="VX2" s="70"/>
      <c r="VY2" s="42"/>
      <c r="VZ2" s="204" t="s">
        <v>153</v>
      </c>
      <c r="WA2" s="204"/>
      <c r="WB2" s="204"/>
      <c r="WC2" s="204"/>
      <c r="WD2" s="204"/>
      <c r="WE2" s="204"/>
      <c r="WF2" s="204"/>
      <c r="WG2" s="204"/>
      <c r="WH2" s="204"/>
      <c r="WI2" s="204"/>
      <c r="WJ2" s="204"/>
      <c r="WK2" s="70"/>
      <c r="WL2" s="70"/>
      <c r="WM2" s="204" t="s">
        <v>184</v>
      </c>
      <c r="WN2" s="204"/>
      <c r="WO2" s="204"/>
      <c r="WP2" s="204"/>
      <c r="WQ2" s="204"/>
      <c r="WR2" s="204"/>
      <c r="WS2" s="204"/>
      <c r="WT2" s="204"/>
      <c r="WU2" s="204"/>
      <c r="WV2" s="204"/>
      <c r="WW2" s="204"/>
      <c r="WX2" s="69"/>
      <c r="WY2" s="70"/>
      <c r="WZ2" s="204" t="s">
        <v>183</v>
      </c>
      <c r="XA2" s="204"/>
      <c r="XB2" s="204"/>
      <c r="XC2" s="204"/>
      <c r="XD2" s="204"/>
      <c r="XE2" s="204"/>
      <c r="XF2" s="204"/>
      <c r="XG2" s="204"/>
      <c r="XH2" s="204"/>
      <c r="XI2" s="204"/>
      <c r="XJ2" s="204"/>
      <c r="XK2" s="69"/>
      <c r="XL2" s="70" t="s">
        <v>161</v>
      </c>
      <c r="XM2" s="204" t="str">
        <f xml:space="preserve"> "Segmenty operacyjne za okres 12m-cy zakończonych 31.12.2013"</f>
        <v>Segmenty operacyjne za okres 12m-cy zakończonych 31.12.2013</v>
      </c>
      <c r="XN2" s="204"/>
      <c r="XO2" s="204"/>
      <c r="XP2" s="204"/>
      <c r="XQ2" s="204"/>
      <c r="XR2" s="204"/>
      <c r="XS2" s="204"/>
      <c r="XT2" s="204"/>
      <c r="XU2" s="204"/>
      <c r="XV2" s="204"/>
      <c r="XW2" s="204"/>
      <c r="XX2" s="69"/>
      <c r="XY2" s="42"/>
      <c r="XZ2" s="204" t="s">
        <v>155</v>
      </c>
      <c r="YA2" s="204"/>
      <c r="YB2" s="204"/>
      <c r="YC2" s="204"/>
      <c r="YD2" s="204"/>
      <c r="YE2" s="204"/>
      <c r="YF2" s="204"/>
      <c r="YG2" s="204"/>
      <c r="YH2" s="204"/>
      <c r="YI2" s="204"/>
      <c r="YJ2" s="204"/>
    </row>
    <row r="3" spans="1:660" ht="31.5">
      <c r="A3" s="111" t="s">
        <v>324</v>
      </c>
      <c r="B3" s="46" t="s">
        <v>139</v>
      </c>
      <c r="D3" s="46" t="s">
        <v>140</v>
      </c>
      <c r="F3" s="165" t="s">
        <v>267</v>
      </c>
      <c r="H3" s="46" t="s">
        <v>142</v>
      </c>
      <c r="J3" s="46" t="s">
        <v>143</v>
      </c>
      <c r="L3" s="46" t="s">
        <v>300</v>
      </c>
      <c r="O3" s="111" t="s">
        <v>324</v>
      </c>
      <c r="P3" s="46" t="s">
        <v>139</v>
      </c>
      <c r="R3" s="46" t="s">
        <v>140</v>
      </c>
      <c r="T3" s="165" t="s">
        <v>267</v>
      </c>
      <c r="V3" s="46" t="s">
        <v>142</v>
      </c>
      <c r="X3" s="46" t="s">
        <v>143</v>
      </c>
      <c r="Z3" s="46" t="s">
        <v>300</v>
      </c>
      <c r="AC3" s="111" t="s">
        <v>324</v>
      </c>
      <c r="AD3" s="46" t="s">
        <v>139</v>
      </c>
      <c r="AF3" s="46" t="s">
        <v>140</v>
      </c>
      <c r="AH3" s="165" t="s">
        <v>267</v>
      </c>
      <c r="AJ3" s="46" t="s">
        <v>142</v>
      </c>
      <c r="AL3" s="46" t="s">
        <v>143</v>
      </c>
      <c r="AN3" s="46" t="s">
        <v>300</v>
      </c>
      <c r="AQ3" s="111" t="s">
        <v>324</v>
      </c>
      <c r="AR3" s="46" t="s">
        <v>139</v>
      </c>
      <c r="AT3" s="46" t="s">
        <v>140</v>
      </c>
      <c r="AV3" s="165" t="s">
        <v>267</v>
      </c>
      <c r="AX3" s="46" t="s">
        <v>142</v>
      </c>
      <c r="AZ3" s="46" t="s">
        <v>143</v>
      </c>
      <c r="BB3" s="46" t="s">
        <v>300</v>
      </c>
      <c r="BE3" s="111" t="s">
        <v>313</v>
      </c>
      <c r="BF3" s="46" t="s">
        <v>139</v>
      </c>
      <c r="BH3" s="46" t="s">
        <v>140</v>
      </c>
      <c r="BJ3" s="165" t="s">
        <v>267</v>
      </c>
      <c r="BL3" s="46" t="s">
        <v>142</v>
      </c>
      <c r="BN3" s="46" t="s">
        <v>143</v>
      </c>
      <c r="BP3" s="46" t="s">
        <v>300</v>
      </c>
      <c r="BS3" s="111" t="s">
        <v>313</v>
      </c>
      <c r="BT3" s="46" t="s">
        <v>139</v>
      </c>
      <c r="BV3" s="46" t="s">
        <v>140</v>
      </c>
      <c r="BX3" s="165" t="s">
        <v>267</v>
      </c>
      <c r="BZ3" s="46" t="s">
        <v>142</v>
      </c>
      <c r="CB3" s="46" t="s">
        <v>143</v>
      </c>
      <c r="CD3" s="46" t="s">
        <v>300</v>
      </c>
      <c r="CG3" s="111" t="s">
        <v>313</v>
      </c>
      <c r="CH3" s="46" t="s">
        <v>139</v>
      </c>
      <c r="CJ3" s="46" t="s">
        <v>140</v>
      </c>
      <c r="CL3" s="165" t="s">
        <v>267</v>
      </c>
      <c r="CN3" s="46" t="s">
        <v>142</v>
      </c>
      <c r="CP3" s="46" t="s">
        <v>143</v>
      </c>
      <c r="CR3" s="46" t="s">
        <v>300</v>
      </c>
      <c r="CU3" s="111" t="s">
        <v>313</v>
      </c>
      <c r="CV3" s="46" t="s">
        <v>139</v>
      </c>
      <c r="CX3" s="46" t="s">
        <v>140</v>
      </c>
      <c r="CZ3" s="165" t="s">
        <v>267</v>
      </c>
      <c r="DB3" s="46" t="s">
        <v>142</v>
      </c>
      <c r="DD3" s="46" t="s">
        <v>143</v>
      </c>
      <c r="DF3" s="46" t="s">
        <v>300</v>
      </c>
      <c r="DI3" s="111" t="s">
        <v>314</v>
      </c>
      <c r="DJ3" s="46" t="s">
        <v>139</v>
      </c>
      <c r="DL3" s="46" t="s">
        <v>140</v>
      </c>
      <c r="DN3" s="165" t="s">
        <v>267</v>
      </c>
      <c r="DP3" s="46" t="s">
        <v>142</v>
      </c>
      <c r="DR3" s="46" t="s">
        <v>143</v>
      </c>
      <c r="DT3" s="46" t="s">
        <v>300</v>
      </c>
      <c r="DW3" s="111" t="s">
        <v>314</v>
      </c>
      <c r="DX3" s="46" t="s">
        <v>139</v>
      </c>
      <c r="DZ3" s="46" t="s">
        <v>140</v>
      </c>
      <c r="EB3" s="165" t="s">
        <v>267</v>
      </c>
      <c r="ED3" s="46" t="s">
        <v>142</v>
      </c>
      <c r="EF3" s="46" t="s">
        <v>143</v>
      </c>
      <c r="EH3" s="46" t="s">
        <v>300</v>
      </c>
      <c r="EK3" s="111" t="s">
        <v>314</v>
      </c>
      <c r="EL3" s="46" t="s">
        <v>139</v>
      </c>
      <c r="EN3" s="46" t="s">
        <v>140</v>
      </c>
      <c r="EP3" s="165" t="s">
        <v>267</v>
      </c>
      <c r="ER3" s="46" t="s">
        <v>142</v>
      </c>
      <c r="ET3" s="46" t="s">
        <v>143</v>
      </c>
      <c r="EV3" s="46" t="s">
        <v>300</v>
      </c>
      <c r="EY3" s="111" t="s">
        <v>314</v>
      </c>
      <c r="EZ3" s="46" t="s">
        <v>139</v>
      </c>
      <c r="FB3" s="46" t="s">
        <v>140</v>
      </c>
      <c r="FD3" s="165" t="s">
        <v>267</v>
      </c>
      <c r="FF3" s="46" t="s">
        <v>142</v>
      </c>
      <c r="FH3" s="46" t="s">
        <v>143</v>
      </c>
      <c r="FJ3" s="46" t="s">
        <v>300</v>
      </c>
      <c r="FM3" s="111" t="s">
        <v>294</v>
      </c>
      <c r="FN3" s="46" t="s">
        <v>139</v>
      </c>
      <c r="FP3" s="46" t="s">
        <v>140</v>
      </c>
      <c r="FR3" s="165" t="s">
        <v>267</v>
      </c>
      <c r="FT3" s="46" t="s">
        <v>142</v>
      </c>
      <c r="FV3" s="46" t="s">
        <v>143</v>
      </c>
      <c r="FX3" s="46" t="s">
        <v>300</v>
      </c>
      <c r="GA3" s="111" t="s">
        <v>294</v>
      </c>
      <c r="GB3" s="46" t="s">
        <v>139</v>
      </c>
      <c r="GD3" s="46" t="s">
        <v>140</v>
      </c>
      <c r="GF3" s="165" t="s">
        <v>267</v>
      </c>
      <c r="GH3" s="46" t="s">
        <v>142</v>
      </c>
      <c r="GJ3" s="46" t="s">
        <v>143</v>
      </c>
      <c r="GL3" s="46" t="s">
        <v>300</v>
      </c>
      <c r="GO3" s="111" t="s">
        <v>294</v>
      </c>
      <c r="GP3" s="46" t="s">
        <v>139</v>
      </c>
      <c r="GR3" s="46" t="s">
        <v>140</v>
      </c>
      <c r="GT3" s="165" t="s">
        <v>267</v>
      </c>
      <c r="GV3" s="46" t="s">
        <v>142</v>
      </c>
      <c r="GX3" s="46" t="s">
        <v>143</v>
      </c>
      <c r="GZ3" s="46" t="s">
        <v>300</v>
      </c>
      <c r="HC3" s="111" t="s">
        <v>294</v>
      </c>
      <c r="HD3" s="46" t="s">
        <v>139</v>
      </c>
      <c r="HF3" s="46" t="s">
        <v>140</v>
      </c>
      <c r="HH3" s="165" t="s">
        <v>267</v>
      </c>
      <c r="HJ3" s="46" t="s">
        <v>142</v>
      </c>
      <c r="HL3" s="46" t="s">
        <v>143</v>
      </c>
      <c r="HN3" s="46" t="s">
        <v>300</v>
      </c>
      <c r="HQ3" s="111" t="s">
        <v>288</v>
      </c>
      <c r="HR3" s="46" t="s">
        <v>139</v>
      </c>
      <c r="HT3" s="46" t="s">
        <v>140</v>
      </c>
      <c r="HV3" s="165" t="s">
        <v>267</v>
      </c>
      <c r="HX3" s="46" t="s">
        <v>142</v>
      </c>
      <c r="HZ3" s="46" t="s">
        <v>143</v>
      </c>
      <c r="IB3" s="46" t="s">
        <v>144</v>
      </c>
      <c r="IE3" s="111" t="s">
        <v>288</v>
      </c>
      <c r="IF3" s="46" t="s">
        <v>139</v>
      </c>
      <c r="IH3" s="46" t="s">
        <v>140</v>
      </c>
      <c r="IJ3" s="165" t="s">
        <v>267</v>
      </c>
      <c r="IL3" s="46" t="s">
        <v>142</v>
      </c>
      <c r="IN3" s="46" t="s">
        <v>143</v>
      </c>
      <c r="IP3" s="46" t="s">
        <v>144</v>
      </c>
      <c r="IS3" s="111" t="s">
        <v>288</v>
      </c>
      <c r="IT3" s="46" t="s">
        <v>139</v>
      </c>
      <c r="IV3" s="46" t="s">
        <v>140</v>
      </c>
      <c r="IX3" s="165" t="s">
        <v>267</v>
      </c>
      <c r="IZ3" s="46" t="s">
        <v>142</v>
      </c>
      <c r="JB3" s="46" t="s">
        <v>143</v>
      </c>
      <c r="JD3" s="46" t="s">
        <v>144</v>
      </c>
      <c r="JG3" s="111" t="s">
        <v>288</v>
      </c>
      <c r="JH3" s="46" t="s">
        <v>139</v>
      </c>
      <c r="JJ3" s="46" t="s">
        <v>140</v>
      </c>
      <c r="JL3" s="165" t="s">
        <v>267</v>
      </c>
      <c r="JN3" s="46" t="s">
        <v>142</v>
      </c>
      <c r="JP3" s="46" t="s">
        <v>143</v>
      </c>
      <c r="JR3" s="46" t="s">
        <v>144</v>
      </c>
      <c r="JU3" s="111" t="s">
        <v>277</v>
      </c>
      <c r="JV3" s="46" t="s">
        <v>139</v>
      </c>
      <c r="JX3" s="46" t="s">
        <v>140</v>
      </c>
      <c r="JZ3" s="165" t="s">
        <v>267</v>
      </c>
      <c r="KB3" s="46" t="s">
        <v>142</v>
      </c>
      <c r="KD3" s="46" t="s">
        <v>143</v>
      </c>
      <c r="KF3" s="46" t="s">
        <v>144</v>
      </c>
      <c r="KI3" s="111"/>
      <c r="KJ3" s="46" t="s">
        <v>139</v>
      </c>
      <c r="KL3" s="46" t="s">
        <v>140</v>
      </c>
      <c r="KN3" s="165" t="s">
        <v>267</v>
      </c>
      <c r="KP3" s="46" t="s">
        <v>142</v>
      </c>
      <c r="KR3" s="46" t="s">
        <v>143</v>
      </c>
      <c r="KT3" s="46" t="s">
        <v>144</v>
      </c>
      <c r="KW3" s="111"/>
      <c r="KX3" s="46" t="s">
        <v>139</v>
      </c>
      <c r="KZ3" s="46" t="s">
        <v>140</v>
      </c>
      <c r="LB3" s="155" t="s">
        <v>267</v>
      </c>
      <c r="LC3" s="46"/>
      <c r="LD3" s="46" t="s">
        <v>142</v>
      </c>
      <c r="LF3" s="47" t="s">
        <v>143</v>
      </c>
      <c r="LH3" s="46" t="s">
        <v>144</v>
      </c>
      <c r="LJ3" s="111"/>
      <c r="LK3" s="46" t="s">
        <v>139</v>
      </c>
      <c r="LM3" s="46" t="s">
        <v>140</v>
      </c>
      <c r="LO3" s="155" t="s">
        <v>267</v>
      </c>
      <c r="LQ3" s="46" t="s">
        <v>142</v>
      </c>
      <c r="LS3" s="47" t="s">
        <v>143</v>
      </c>
      <c r="LU3" s="46" t="s">
        <v>144</v>
      </c>
      <c r="LV3" s="46"/>
      <c r="LW3" s="111" t="s">
        <v>258</v>
      </c>
      <c r="LX3" s="46" t="s">
        <v>139</v>
      </c>
      <c r="LZ3" s="46" t="s">
        <v>140</v>
      </c>
      <c r="MB3" s="165" t="s">
        <v>267</v>
      </c>
      <c r="MD3" s="46" t="s">
        <v>142</v>
      </c>
      <c r="MF3" s="46" t="s">
        <v>143</v>
      </c>
      <c r="MH3" s="46" t="s">
        <v>144</v>
      </c>
      <c r="MK3" s="111"/>
      <c r="ML3" s="46" t="s">
        <v>139</v>
      </c>
      <c r="MN3" s="46" t="s">
        <v>140</v>
      </c>
      <c r="MP3" s="165" t="s">
        <v>267</v>
      </c>
      <c r="MR3" s="46" t="s">
        <v>142</v>
      </c>
      <c r="MT3" s="46" t="s">
        <v>143</v>
      </c>
      <c r="MV3" s="46" t="s">
        <v>144</v>
      </c>
      <c r="MY3" s="111"/>
      <c r="MZ3" s="46" t="s">
        <v>139</v>
      </c>
      <c r="NB3" s="46" t="s">
        <v>140</v>
      </c>
      <c r="ND3" s="155" t="s">
        <v>267</v>
      </c>
      <c r="NE3" s="46"/>
      <c r="NF3" s="46" t="s">
        <v>142</v>
      </c>
      <c r="NH3" s="47" t="s">
        <v>143</v>
      </c>
      <c r="NJ3" s="46" t="s">
        <v>144</v>
      </c>
      <c r="NL3" s="111"/>
      <c r="NM3" s="46" t="s">
        <v>139</v>
      </c>
      <c r="NO3" s="46" t="s">
        <v>140</v>
      </c>
      <c r="NQ3" s="155" t="s">
        <v>267</v>
      </c>
      <c r="NS3" s="46" t="s">
        <v>142</v>
      </c>
      <c r="NU3" s="47" t="s">
        <v>143</v>
      </c>
      <c r="NW3" s="46" t="s">
        <v>144</v>
      </c>
      <c r="NY3" s="111" t="s">
        <v>240</v>
      </c>
      <c r="NZ3" s="46" t="s">
        <v>139</v>
      </c>
      <c r="OB3" s="46" t="s">
        <v>140</v>
      </c>
      <c r="OD3" s="155" t="s">
        <v>267</v>
      </c>
      <c r="OF3" s="46" t="s">
        <v>142</v>
      </c>
      <c r="OH3" s="47" t="s">
        <v>143</v>
      </c>
      <c r="OJ3" s="46" t="s">
        <v>144</v>
      </c>
      <c r="OK3" s="66"/>
      <c r="OL3" s="111"/>
      <c r="OM3" s="46" t="s">
        <v>139</v>
      </c>
      <c r="OO3" s="46" t="s">
        <v>140</v>
      </c>
      <c r="OQ3" s="129" t="s">
        <v>141</v>
      </c>
      <c r="OS3" s="46" t="s">
        <v>142</v>
      </c>
      <c r="OU3" s="47" t="s">
        <v>143</v>
      </c>
      <c r="OW3" s="46" t="s">
        <v>144</v>
      </c>
      <c r="OX3" s="66"/>
      <c r="OY3" s="111"/>
      <c r="OZ3" s="46" t="s">
        <v>139</v>
      </c>
      <c r="PB3" s="46" t="s">
        <v>140</v>
      </c>
      <c r="PD3" s="129" t="s">
        <v>141</v>
      </c>
      <c r="PF3" s="46" t="s">
        <v>142</v>
      </c>
      <c r="PH3" s="47" t="s">
        <v>143</v>
      </c>
      <c r="PJ3" s="46" t="s">
        <v>144</v>
      </c>
      <c r="PK3" s="66"/>
      <c r="PL3" s="111"/>
      <c r="PM3" s="46" t="s">
        <v>139</v>
      </c>
      <c r="PO3" s="46" t="s">
        <v>140</v>
      </c>
      <c r="PQ3" s="129" t="s">
        <v>141</v>
      </c>
      <c r="PS3" s="46" t="s">
        <v>142</v>
      </c>
      <c r="PU3" s="47" t="s">
        <v>143</v>
      </c>
      <c r="PW3" s="46" t="s">
        <v>144</v>
      </c>
      <c r="PX3" s="66"/>
      <c r="PY3" s="111"/>
      <c r="PZ3" s="46" t="s">
        <v>139</v>
      </c>
      <c r="QB3" s="46" t="s">
        <v>140</v>
      </c>
      <c r="QD3" s="46" t="s">
        <v>141</v>
      </c>
      <c r="QF3" s="46" t="s">
        <v>142</v>
      </c>
      <c r="QH3" s="47" t="s">
        <v>143</v>
      </c>
      <c r="QJ3" s="46" t="s">
        <v>144</v>
      </c>
      <c r="QK3" s="66"/>
      <c r="QL3" s="111"/>
      <c r="QM3" s="46" t="s">
        <v>139</v>
      </c>
      <c r="QO3" s="46" t="s">
        <v>140</v>
      </c>
      <c r="QQ3" s="46" t="s">
        <v>141</v>
      </c>
      <c r="QS3" s="46" t="s">
        <v>142</v>
      </c>
      <c r="QU3" s="47" t="s">
        <v>143</v>
      </c>
      <c r="QW3" s="46" t="s">
        <v>144</v>
      </c>
      <c r="QX3" s="66"/>
      <c r="QY3" s="111"/>
      <c r="QZ3" s="46" t="s">
        <v>139</v>
      </c>
      <c r="RB3" s="46" t="s">
        <v>140</v>
      </c>
      <c r="RD3" s="46" t="s">
        <v>141</v>
      </c>
      <c r="RF3" s="46" t="s">
        <v>142</v>
      </c>
      <c r="RH3" s="47" t="s">
        <v>143</v>
      </c>
      <c r="RJ3" s="46" t="s">
        <v>144</v>
      </c>
      <c r="RK3" s="66"/>
      <c r="RL3" s="111" t="s">
        <v>229</v>
      </c>
      <c r="RM3" s="46" t="s">
        <v>139</v>
      </c>
      <c r="RO3" s="46" t="s">
        <v>140</v>
      </c>
      <c r="RQ3" s="46" t="s">
        <v>141</v>
      </c>
      <c r="RS3" s="46" t="s">
        <v>142</v>
      </c>
      <c r="RU3" s="47" t="s">
        <v>143</v>
      </c>
      <c r="RW3" s="46" t="s">
        <v>144</v>
      </c>
      <c r="RX3" s="66"/>
      <c r="RZ3" s="46" t="s">
        <v>139</v>
      </c>
      <c r="SB3" s="46" t="s">
        <v>140</v>
      </c>
      <c r="SD3" s="46" t="s">
        <v>141</v>
      </c>
      <c r="SF3" s="46" t="s">
        <v>142</v>
      </c>
      <c r="SH3" s="47" t="s">
        <v>143</v>
      </c>
      <c r="SJ3" s="46" t="s">
        <v>144</v>
      </c>
      <c r="SK3" s="66"/>
      <c r="SL3" s="66"/>
      <c r="SM3" s="46" t="s">
        <v>139</v>
      </c>
      <c r="SO3" s="46" t="s">
        <v>140</v>
      </c>
      <c r="SQ3" s="46" t="s">
        <v>141</v>
      </c>
      <c r="SS3" s="46" t="s">
        <v>142</v>
      </c>
      <c r="SU3" s="47" t="s">
        <v>143</v>
      </c>
      <c r="SW3" s="46" t="s">
        <v>144</v>
      </c>
      <c r="SX3" s="66"/>
      <c r="SY3" s="66"/>
      <c r="SZ3" s="46" t="s">
        <v>139</v>
      </c>
      <c r="TB3" s="46" t="s">
        <v>140</v>
      </c>
      <c r="TD3" s="46" t="s">
        <v>141</v>
      </c>
      <c r="TF3" s="46" t="s">
        <v>142</v>
      </c>
      <c r="TH3" s="47" t="s">
        <v>143</v>
      </c>
      <c r="TJ3" s="46" t="s">
        <v>144</v>
      </c>
      <c r="TK3" s="66"/>
      <c r="TL3" s="111" t="s">
        <v>202</v>
      </c>
      <c r="TM3" s="46" t="s">
        <v>139</v>
      </c>
      <c r="TO3" s="46" t="s">
        <v>140</v>
      </c>
      <c r="TQ3" s="46" t="s">
        <v>141</v>
      </c>
      <c r="TS3" s="46" t="s">
        <v>142</v>
      </c>
      <c r="TU3" s="47" t="s">
        <v>143</v>
      </c>
      <c r="TW3" s="46" t="s">
        <v>144</v>
      </c>
      <c r="TX3" s="66"/>
      <c r="TZ3" s="46" t="s">
        <v>139</v>
      </c>
      <c r="UB3" s="46" t="s">
        <v>140</v>
      </c>
      <c r="UD3" s="46" t="s">
        <v>141</v>
      </c>
      <c r="UF3" s="46" t="s">
        <v>142</v>
      </c>
      <c r="UH3" s="47" t="s">
        <v>143</v>
      </c>
      <c r="UJ3" s="46" t="s">
        <v>144</v>
      </c>
      <c r="UK3" s="66"/>
      <c r="UL3" s="66"/>
      <c r="UM3" s="46" t="s">
        <v>139</v>
      </c>
      <c r="UO3" s="46" t="s">
        <v>140</v>
      </c>
      <c r="UQ3" s="46" t="s">
        <v>141</v>
      </c>
      <c r="US3" s="46" t="s">
        <v>158</v>
      </c>
      <c r="UU3" s="46" t="s">
        <v>143</v>
      </c>
      <c r="UW3" s="46" t="s">
        <v>144</v>
      </c>
      <c r="UX3" s="66"/>
      <c r="UY3" s="66"/>
      <c r="UZ3" s="46" t="s">
        <v>139</v>
      </c>
      <c r="VB3" s="46" t="s">
        <v>140</v>
      </c>
      <c r="VD3" s="46" t="s">
        <v>141</v>
      </c>
      <c r="VF3" s="46" t="s">
        <v>142</v>
      </c>
      <c r="VH3" s="46" t="s">
        <v>143</v>
      </c>
      <c r="VJ3" s="46" t="s">
        <v>144</v>
      </c>
      <c r="VK3" s="66"/>
      <c r="VM3" s="46" t="s">
        <v>139</v>
      </c>
      <c r="VO3" s="46" t="s">
        <v>140</v>
      </c>
      <c r="VQ3" s="46" t="s">
        <v>141</v>
      </c>
      <c r="VS3" s="46" t="s">
        <v>158</v>
      </c>
      <c r="VU3" s="47" t="s">
        <v>143</v>
      </c>
      <c r="VW3" s="46" t="s">
        <v>144</v>
      </c>
      <c r="VX3" s="66"/>
      <c r="VZ3" s="46" t="s">
        <v>139</v>
      </c>
      <c r="WB3" s="46" t="s">
        <v>140</v>
      </c>
      <c r="WD3" s="46" t="s">
        <v>141</v>
      </c>
      <c r="WF3" s="46" t="s">
        <v>142</v>
      </c>
      <c r="WH3" s="47" t="s">
        <v>143</v>
      </c>
      <c r="WJ3" s="46" t="s">
        <v>144</v>
      </c>
      <c r="WK3" s="66"/>
      <c r="WL3" s="66"/>
      <c r="WM3" s="46" t="s">
        <v>139</v>
      </c>
      <c r="WO3" s="46" t="s">
        <v>140</v>
      </c>
      <c r="WQ3" s="46" t="s">
        <v>141</v>
      </c>
      <c r="WS3" s="46" t="s">
        <v>158</v>
      </c>
      <c r="WU3" s="46" t="s">
        <v>143</v>
      </c>
      <c r="WW3" s="46" t="s">
        <v>144</v>
      </c>
      <c r="WX3" s="46"/>
      <c r="WY3" s="66"/>
      <c r="WZ3" s="46" t="s">
        <v>139</v>
      </c>
      <c r="XB3" s="46" t="s">
        <v>140</v>
      </c>
      <c r="XD3" s="46" t="s">
        <v>141</v>
      </c>
      <c r="XF3" s="46" t="s">
        <v>142</v>
      </c>
      <c r="XH3" s="46" t="s">
        <v>143</v>
      </c>
      <c r="XJ3" s="46" t="s">
        <v>144</v>
      </c>
      <c r="XK3" s="46"/>
      <c r="XL3" s="66"/>
      <c r="XM3" s="46" t="s">
        <v>139</v>
      </c>
      <c r="XO3" s="46" t="s">
        <v>140</v>
      </c>
      <c r="XQ3" s="46" t="s">
        <v>141</v>
      </c>
      <c r="XS3" s="46" t="s">
        <v>142</v>
      </c>
      <c r="XU3" s="46" t="s">
        <v>143</v>
      </c>
      <c r="XW3" s="46" t="s">
        <v>144</v>
      </c>
      <c r="XX3" s="46"/>
      <c r="XZ3" s="46" t="s">
        <v>139</v>
      </c>
      <c r="YB3" s="46" t="s">
        <v>140</v>
      </c>
      <c r="YD3" s="46" t="s">
        <v>141</v>
      </c>
      <c r="YF3" s="46" t="s">
        <v>142</v>
      </c>
      <c r="YH3" s="47" t="s">
        <v>143</v>
      </c>
      <c r="YJ3" s="46" t="s">
        <v>144</v>
      </c>
    </row>
    <row r="4" spans="1:660">
      <c r="LB4" s="156"/>
      <c r="LO4" s="156"/>
      <c r="ND4" s="156"/>
      <c r="NQ4" s="156"/>
      <c r="OD4" s="156"/>
      <c r="OK4" s="66"/>
      <c r="OQ4" s="130"/>
      <c r="OX4" s="66"/>
      <c r="PD4" s="130"/>
      <c r="PK4" s="66"/>
      <c r="PQ4" s="130"/>
      <c r="PX4" s="66"/>
      <c r="QK4" s="66"/>
      <c r="QX4" s="66"/>
      <c r="RK4" s="66"/>
      <c r="RX4" s="66"/>
      <c r="SK4" s="66"/>
      <c r="SL4" s="66"/>
      <c r="SX4" s="66"/>
      <c r="SY4" s="66"/>
      <c r="TK4" s="66"/>
      <c r="TX4" s="66"/>
      <c r="UK4" s="66"/>
      <c r="UL4" s="66"/>
      <c r="UX4" s="66"/>
      <c r="UY4" s="66"/>
      <c r="VK4" s="66"/>
      <c r="VX4" s="66"/>
      <c r="WK4" s="66"/>
      <c r="WL4" s="66"/>
      <c r="WX4" s="43"/>
      <c r="WY4" s="66"/>
      <c r="XK4" s="43"/>
      <c r="XL4" s="66"/>
      <c r="XX4" s="43"/>
    </row>
    <row r="5" spans="1:660" s="48" customFormat="1">
      <c r="A5" s="48" t="s">
        <v>145</v>
      </c>
      <c r="B5" s="49"/>
      <c r="C5" s="50"/>
      <c r="D5" s="49"/>
      <c r="E5" s="49"/>
      <c r="F5" s="166"/>
      <c r="G5" s="49"/>
      <c r="H5" s="49"/>
      <c r="I5" s="49"/>
      <c r="J5" s="49"/>
      <c r="K5" s="49"/>
      <c r="L5" s="49"/>
      <c r="O5" s="48" t="s">
        <v>145</v>
      </c>
      <c r="P5" s="49"/>
      <c r="Q5" s="50"/>
      <c r="R5" s="49"/>
      <c r="S5" s="49"/>
      <c r="T5" s="166"/>
      <c r="U5" s="49"/>
      <c r="V5" s="49"/>
      <c r="W5" s="49"/>
      <c r="X5" s="49"/>
      <c r="Y5" s="49"/>
      <c r="Z5" s="49"/>
      <c r="AC5" s="48" t="s">
        <v>145</v>
      </c>
      <c r="AD5" s="49"/>
      <c r="AE5" s="50"/>
      <c r="AF5" s="49"/>
      <c r="AG5" s="49"/>
      <c r="AH5" s="166"/>
      <c r="AI5" s="49"/>
      <c r="AJ5" s="49"/>
      <c r="AK5" s="49"/>
      <c r="AL5" s="49"/>
      <c r="AM5" s="49"/>
      <c r="AN5" s="49"/>
      <c r="AQ5" s="48" t="s">
        <v>145</v>
      </c>
      <c r="AR5" s="49">
        <f>SUM(AR6:AR8)</f>
        <v>191204420.3860037</v>
      </c>
      <c r="AS5" s="50"/>
      <c r="AT5" s="49">
        <f>SUM(AT6:AT8)</f>
        <v>12511347.49</v>
      </c>
      <c r="AU5" s="49"/>
      <c r="AV5" s="166">
        <f>SUM(AV6:AV8)</f>
        <v>0</v>
      </c>
      <c r="AW5" s="49"/>
      <c r="AX5" s="49">
        <f>SUM(AX6:AX8)</f>
        <v>386700</v>
      </c>
      <c r="AY5" s="49"/>
      <c r="AZ5" s="49">
        <f>SUM(AZ6:AZ8)</f>
        <v>-974182.13</v>
      </c>
      <c r="BA5" s="49"/>
      <c r="BB5" s="49">
        <f>SUM(AR5:AZ5)</f>
        <v>203128285.74600372</v>
      </c>
      <c r="BE5" s="48" t="s">
        <v>145</v>
      </c>
      <c r="BF5" s="49">
        <f>SUM(BF6:BF8)</f>
        <v>579299086.41927004</v>
      </c>
      <c r="BG5" s="50"/>
      <c r="BH5" s="49">
        <f>SUM(BH6:BH8)</f>
        <v>46615698.519999996</v>
      </c>
      <c r="BI5" s="49"/>
      <c r="BJ5" s="166">
        <f>SUM(BJ6:BJ8)</f>
        <v>0</v>
      </c>
      <c r="BK5" s="49"/>
      <c r="BL5" s="49">
        <f>SUM(BL6:BL8)</f>
        <v>1542600</v>
      </c>
      <c r="BM5" s="49"/>
      <c r="BN5" s="49">
        <f>SUM(BN6:BN8)</f>
        <v>-3335591.5399999996</v>
      </c>
      <c r="BO5" s="49"/>
      <c r="BP5" s="49">
        <f>SUM(BF5:BN5)</f>
        <v>624121793.39927006</v>
      </c>
      <c r="BS5" s="48" t="s">
        <v>145</v>
      </c>
      <c r="BT5" s="49">
        <f>SUM(BT6:BT8)</f>
        <v>450878802.75832224</v>
      </c>
      <c r="BU5" s="50"/>
      <c r="BV5" s="49">
        <f>SUM(BV6:BV8)</f>
        <v>33522519.880000003</v>
      </c>
      <c r="BW5" s="49"/>
      <c r="BX5" s="166">
        <f>SUM(BX6:BX8)</f>
        <v>0</v>
      </c>
      <c r="BY5" s="49"/>
      <c r="BZ5" s="49">
        <f>SUM(BZ6:BZ8)</f>
        <v>1155900</v>
      </c>
      <c r="CA5" s="49"/>
      <c r="CB5" s="49">
        <f>SUM(CB6:CB8)</f>
        <v>-2579697.8099999996</v>
      </c>
      <c r="CC5" s="49"/>
      <c r="CD5" s="49">
        <f>SUM(BT5:CB5)</f>
        <v>482977524.82832223</v>
      </c>
      <c r="CG5" s="48" t="s">
        <v>145</v>
      </c>
      <c r="CH5" s="49">
        <f>SUM(CH6:CH8)</f>
        <v>336710373.90000004</v>
      </c>
      <c r="CI5" s="50"/>
      <c r="CJ5" s="49">
        <f>SUM(CJ6:CJ8)</f>
        <v>23255362.609999999</v>
      </c>
      <c r="CK5" s="49"/>
      <c r="CL5" s="166">
        <f>SUM(CL6:CL8)</f>
        <v>0</v>
      </c>
      <c r="CM5" s="49"/>
      <c r="CN5" s="49">
        <f>SUM(CN6:CN8)</f>
        <v>769200</v>
      </c>
      <c r="CO5" s="49"/>
      <c r="CP5" s="49">
        <f>SUM(CP6:CP8)</f>
        <v>-1736170.21</v>
      </c>
      <c r="CQ5" s="49"/>
      <c r="CR5" s="49">
        <f>SUM(CH5:CP5)</f>
        <v>358998766.30000007</v>
      </c>
      <c r="CU5" s="48" t="s">
        <v>145</v>
      </c>
      <c r="CV5" s="49">
        <f>SUM(CV6:CV8)</f>
        <v>261613432.49095896</v>
      </c>
      <c r="CW5" s="50"/>
      <c r="CX5" s="49">
        <f>SUM(CX6:CX8)</f>
        <v>10267329.340000002</v>
      </c>
      <c r="CY5" s="49"/>
      <c r="CZ5" s="166">
        <f>SUM(CZ6:CZ8)</f>
        <v>0</v>
      </c>
      <c r="DA5" s="49"/>
      <c r="DB5" s="49">
        <f>SUM(DB6:DB8)</f>
        <v>382500</v>
      </c>
      <c r="DC5" s="49"/>
      <c r="DD5" s="49">
        <f>SUM(DD6:DD8)</f>
        <v>-967139.45000000007</v>
      </c>
      <c r="DE5" s="49"/>
      <c r="DF5" s="49">
        <f>SUM(CV5:DD5)</f>
        <v>271296122.38095897</v>
      </c>
      <c r="DI5" s="48" t="s">
        <v>145</v>
      </c>
      <c r="DJ5" s="49">
        <f>SUM(DJ6:DJ8)</f>
        <v>410834062.65000004</v>
      </c>
      <c r="DK5" s="50"/>
      <c r="DL5" s="49">
        <f>SUM(DL6:DL8)</f>
        <v>38269488.580000006</v>
      </c>
      <c r="DM5" s="49"/>
      <c r="DN5" s="166">
        <f>SUM(DN6:DN8)</f>
        <v>0</v>
      </c>
      <c r="DO5" s="49"/>
      <c r="DP5" s="49">
        <f>SUM(DP6:DP8)</f>
        <v>1530000</v>
      </c>
      <c r="DQ5" s="49"/>
      <c r="DR5" s="49">
        <f>SUM(DR6:DR8)</f>
        <v>-3761983.24</v>
      </c>
      <c r="DS5" s="49"/>
      <c r="DT5" s="49">
        <f>SUM(DJ5:DR5)</f>
        <v>446871567.99000001</v>
      </c>
      <c r="DW5" s="48" t="s">
        <v>145</v>
      </c>
      <c r="DX5" s="49">
        <f>SUM(DX6:DX8)</f>
        <v>285134718.10569751</v>
      </c>
      <c r="DY5" s="50"/>
      <c r="DZ5" s="49">
        <f>SUM(DZ6:DZ8)</f>
        <v>27904756.880000003</v>
      </c>
      <c r="EA5" s="49"/>
      <c r="EB5" s="166">
        <f>SUM(EB6:EB8)</f>
        <v>0</v>
      </c>
      <c r="EC5" s="49"/>
      <c r="ED5" s="49">
        <f>SUM(ED6:ED8)</f>
        <v>1147500</v>
      </c>
      <c r="EE5" s="49"/>
      <c r="EF5" s="49">
        <f>SUM(EF6:EF8)</f>
        <v>-3003638.7099999995</v>
      </c>
      <c r="EG5" s="49"/>
      <c r="EH5" s="49">
        <f>SUM(DX5:EF5)</f>
        <v>311183336.27569753</v>
      </c>
      <c r="EK5" s="48" t="s">
        <v>145</v>
      </c>
      <c r="EL5" s="49">
        <f>SUM(EL6:EL8)</f>
        <v>191164959.37357187</v>
      </c>
      <c r="EM5" s="50"/>
      <c r="EN5" s="49">
        <f>SUM(EN6:EN8)</f>
        <v>18967267.200000003</v>
      </c>
      <c r="EO5" s="49"/>
      <c r="EP5" s="166">
        <f>SUM(EP6:EP8)</f>
        <v>0</v>
      </c>
      <c r="EQ5" s="49"/>
      <c r="ER5" s="49">
        <f>SUM(ER6:ER8)</f>
        <v>843893.04</v>
      </c>
      <c r="ES5" s="49"/>
      <c r="ET5" s="49">
        <f>SUM(ET6:ET8)</f>
        <v>-1498490.9420159999</v>
      </c>
      <c r="EU5" s="49"/>
      <c r="EV5" s="49">
        <f>SUM(EL5:ET5)</f>
        <v>209477628.67155585</v>
      </c>
      <c r="EY5" s="48" t="s">
        <v>145</v>
      </c>
      <c r="EZ5" s="49">
        <f>SUM(EZ6:EZ8)</f>
        <v>136202447.01403338</v>
      </c>
      <c r="FA5" s="50"/>
      <c r="FB5" s="49">
        <f>SUM(FB6:FB8)</f>
        <v>7864806.9699999988</v>
      </c>
      <c r="FC5" s="49"/>
      <c r="FD5" s="166">
        <f>SUM(FD6:FD8)</f>
        <v>0</v>
      </c>
      <c r="FE5" s="49"/>
      <c r="FF5" s="49">
        <f>SUM(FF6:FF8)</f>
        <v>432872.51</v>
      </c>
      <c r="FG5" s="49"/>
      <c r="FH5" s="49">
        <f>SUM(FH6:FH8)</f>
        <v>-685905.80999999994</v>
      </c>
      <c r="FI5" s="49"/>
      <c r="FJ5" s="49">
        <f>SUM(EZ5:FH5)</f>
        <v>143814220.68403336</v>
      </c>
      <c r="FM5" s="48" t="s">
        <v>145</v>
      </c>
      <c r="FN5" s="49">
        <f>SUM(FN6:FN8)</f>
        <v>139272286.62657213</v>
      </c>
      <c r="FO5" s="50"/>
      <c r="FP5" s="49">
        <f>SUM(FP6:FP8)</f>
        <v>30668371.460000001</v>
      </c>
      <c r="FQ5" s="49"/>
      <c r="FR5" s="166">
        <f>SUM(FR6:FR8)</f>
        <v>0</v>
      </c>
      <c r="FS5" s="49"/>
      <c r="FT5" s="49">
        <f>SUM(FT6:FT8)</f>
        <v>1814977.96</v>
      </c>
      <c r="FU5" s="49"/>
      <c r="FV5" s="49">
        <f>SUM(FV6:FV8)</f>
        <v>-4894694.97</v>
      </c>
      <c r="FW5" s="49"/>
      <c r="FX5" s="49">
        <f>SUM(FN5:FV5)</f>
        <v>166860941.07657215</v>
      </c>
      <c r="GA5" s="48" t="s">
        <v>145</v>
      </c>
      <c r="GB5" s="49">
        <f>SUM(GB6:GB8)</f>
        <v>87404452.385609701</v>
      </c>
      <c r="GC5" s="50"/>
      <c r="GD5" s="49">
        <f>SUM(GD6:GD8)</f>
        <v>23888959.949999999</v>
      </c>
      <c r="GE5" s="49"/>
      <c r="GF5" s="166">
        <f>SUM(GF6:GF8)</f>
        <v>0</v>
      </c>
      <c r="GG5" s="49"/>
      <c r="GH5" s="49">
        <f>SUM(GH6:GH8)</f>
        <v>1382896.92</v>
      </c>
      <c r="GI5" s="49"/>
      <c r="GJ5" s="49">
        <f>SUM(GJ6:GJ8)</f>
        <v>-4193926.2099999995</v>
      </c>
      <c r="GK5" s="49"/>
      <c r="GL5" s="49">
        <f>SUM(GB5:GJ5)</f>
        <v>108482383.04560971</v>
      </c>
      <c r="GO5" s="48" t="s">
        <v>145</v>
      </c>
      <c r="GP5" s="49">
        <f>SUM(GP6:GP8)</f>
        <v>57637707.558277003</v>
      </c>
      <c r="GQ5" s="50"/>
      <c r="GR5" s="49">
        <f>SUM(GR6:GR8)</f>
        <v>16346570.039999999</v>
      </c>
      <c r="GS5" s="49"/>
      <c r="GT5" s="166">
        <f>SUM(GT6:GT8)</f>
        <v>0</v>
      </c>
      <c r="GU5" s="49"/>
      <c r="GV5" s="49">
        <f>SUM(GV6:GV8)</f>
        <v>900088.79</v>
      </c>
      <c r="GW5" s="49"/>
      <c r="GX5" s="49">
        <f>SUM(GX6:GX8)</f>
        <v>-2166499.63</v>
      </c>
      <c r="GY5" s="49"/>
      <c r="GZ5" s="49">
        <f>SUM(GP5:GX5)</f>
        <v>72717866.758277014</v>
      </c>
      <c r="HC5" s="48" t="s">
        <v>145</v>
      </c>
      <c r="HD5" s="49">
        <f>SUM(HD6:HD8)</f>
        <v>28230608</v>
      </c>
      <c r="HE5" s="50"/>
      <c r="HF5" s="49">
        <f>SUM(HF6:HF8)</f>
        <v>7436099.8200000003</v>
      </c>
      <c r="HG5" s="49"/>
      <c r="HH5" s="166">
        <f>SUM(HH6:HH8)</f>
        <v>0</v>
      </c>
      <c r="HI5" s="49"/>
      <c r="HJ5" s="49">
        <f>SUM(HJ6:HJ8)</f>
        <v>411000</v>
      </c>
      <c r="HK5" s="49"/>
      <c r="HL5" s="49">
        <f>SUM(HL6:HL8)</f>
        <v>-656401.62</v>
      </c>
      <c r="HM5" s="49"/>
      <c r="HN5" s="49">
        <f>SUM(HD5:HL5)</f>
        <v>35421306.200000003</v>
      </c>
      <c r="HQ5" s="48" t="s">
        <v>145</v>
      </c>
      <c r="HR5" s="49">
        <f>SUM(HR6:HR8)</f>
        <v>100878556.06</v>
      </c>
      <c r="HS5" s="50"/>
      <c r="HT5" s="49">
        <f>SUM(HT6:HT8)</f>
        <v>28731241.990000002</v>
      </c>
      <c r="HU5" s="49"/>
      <c r="HV5" s="166">
        <f>SUM(HV6:HV8)</f>
        <v>0</v>
      </c>
      <c r="HW5" s="49"/>
      <c r="HX5" s="49">
        <f>SUM(HX6:HX8)</f>
        <v>1644000</v>
      </c>
      <c r="HY5" s="49"/>
      <c r="HZ5" s="49">
        <f>SUM(HZ6:HZ8)</f>
        <v>-2626347.64</v>
      </c>
      <c r="IA5" s="49"/>
      <c r="IB5" s="49">
        <f>SUM(HR5:HZ5)</f>
        <v>128627450.41000001</v>
      </c>
      <c r="IE5" s="48" t="s">
        <v>145</v>
      </c>
      <c r="IF5" s="49">
        <f>SUM(IF6:IF8)</f>
        <v>56466997.79999999</v>
      </c>
      <c r="IG5" s="50"/>
      <c r="IH5" s="49">
        <f>SUM(IH6:IH8)</f>
        <v>21037402.420000002</v>
      </c>
      <c r="II5" s="49"/>
      <c r="IJ5" s="166">
        <f>SUM(IJ6:IJ8)</f>
        <v>0</v>
      </c>
      <c r="IK5" s="49"/>
      <c r="IL5" s="49">
        <f>SUM(IL6:IL8)</f>
        <v>1233000</v>
      </c>
      <c r="IM5" s="49"/>
      <c r="IN5" s="49">
        <f>SUM(IN6:IN8)</f>
        <v>-1973694.77</v>
      </c>
      <c r="IO5" s="49"/>
      <c r="IP5" s="49">
        <f>SUM(IF5:IN5)</f>
        <v>76763705.450000003</v>
      </c>
      <c r="IS5" s="48" t="s">
        <v>145</v>
      </c>
      <c r="IT5" s="49">
        <f>SUM(IT6:IT8)</f>
        <v>47983283.100000001</v>
      </c>
      <c r="IU5" s="50"/>
      <c r="IV5" s="49">
        <f>SUM(IV6:IV8)</f>
        <v>13561444.84</v>
      </c>
      <c r="IW5" s="49"/>
      <c r="IX5" s="166">
        <f>SUM(IX6:IX8)</f>
        <v>0</v>
      </c>
      <c r="IY5" s="49"/>
      <c r="IZ5" s="49">
        <f>SUM(IZ6:IZ8)</f>
        <v>822000</v>
      </c>
      <c r="JA5" s="49"/>
      <c r="JB5" s="49">
        <f>SUM(JB6:JB8)</f>
        <v>-1325650.56</v>
      </c>
      <c r="JC5" s="49"/>
      <c r="JD5" s="49">
        <f>SUM(IT5:JB5)</f>
        <v>61041077.379999995</v>
      </c>
      <c r="JG5" s="48" t="s">
        <v>145</v>
      </c>
      <c r="JH5" s="49">
        <f>SUM(JH6:JH8)</f>
        <v>28198023.960000001</v>
      </c>
      <c r="JI5" s="50"/>
      <c r="JJ5" s="49">
        <f>SUM(JJ6:JJ8)</f>
        <v>6185094</v>
      </c>
      <c r="JK5" s="49"/>
      <c r="JL5" s="166">
        <f>SUM(JL6:JL8)</f>
        <v>0</v>
      </c>
      <c r="JM5" s="49"/>
      <c r="JN5" s="49">
        <f>SUM(JN6:JN8)</f>
        <v>411000</v>
      </c>
      <c r="JO5" s="49"/>
      <c r="JP5" s="49">
        <f>SUM(JP6:JP8)</f>
        <v>-726512.56</v>
      </c>
      <c r="JQ5" s="49"/>
      <c r="JR5" s="49">
        <f>SUM(JH5:JP5)</f>
        <v>34067605.399999999</v>
      </c>
      <c r="JU5" s="48" t="s">
        <v>145</v>
      </c>
      <c r="JV5" s="49">
        <f>SUM(JV6:JV8)</f>
        <v>96920830.939999998</v>
      </c>
      <c r="JW5" s="50"/>
      <c r="JX5" s="49">
        <f>SUM(JX6:JX8)</f>
        <v>29510833.150000002</v>
      </c>
      <c r="JY5" s="49"/>
      <c r="JZ5" s="166">
        <f>SUM(JZ6:JZ8)</f>
        <v>0</v>
      </c>
      <c r="KA5" s="49"/>
      <c r="KB5" s="49">
        <f>SUM(KB6:KB8)</f>
        <v>1644000</v>
      </c>
      <c r="KC5" s="49"/>
      <c r="KD5" s="49">
        <f>SUM(KD6:KD8)</f>
        <v>-2689463.14</v>
      </c>
      <c r="KE5" s="49"/>
      <c r="KF5" s="49">
        <f>SUM(JV5:KD5)</f>
        <v>125386200.95</v>
      </c>
      <c r="KI5" s="48" t="s">
        <v>145</v>
      </c>
      <c r="KJ5" s="49">
        <f>SUM(KJ6:KJ8)</f>
        <v>74971571.289999992</v>
      </c>
      <c r="KK5" s="50"/>
      <c r="KL5" s="49">
        <f>SUM(KL6:KL8)</f>
        <v>22670738.850000001</v>
      </c>
      <c r="KM5" s="49"/>
      <c r="KN5" s="166">
        <f>SUM(KN6:KN8)</f>
        <v>0</v>
      </c>
      <c r="KO5" s="49"/>
      <c r="KP5" s="49">
        <f>SUM(KP6:KP8)</f>
        <v>1507500</v>
      </c>
      <c r="KQ5" s="49"/>
      <c r="KR5" s="49">
        <f>SUM(KR6:KR8)</f>
        <v>-2292545.75</v>
      </c>
      <c r="KS5" s="49"/>
      <c r="KT5" s="49">
        <f>SUM(KJ5:KR5)</f>
        <v>96857264.389999986</v>
      </c>
      <c r="KW5" s="48" t="s">
        <v>145</v>
      </c>
      <c r="KX5" s="49">
        <f>SUM(KX6:KX8)</f>
        <v>58392654.75</v>
      </c>
      <c r="KY5" s="50"/>
      <c r="KZ5" s="49">
        <f>SUM(KZ6:KZ8)</f>
        <v>16728487.66</v>
      </c>
      <c r="LA5" s="49"/>
      <c r="LB5" s="157">
        <f>SUM(LB6:LB8)</f>
        <v>0</v>
      </c>
      <c r="LC5" s="49"/>
      <c r="LD5" s="49">
        <f>SUM(LD6:LD8)</f>
        <v>1005000</v>
      </c>
      <c r="LE5" s="49"/>
      <c r="LF5" s="49">
        <f>SUM(LF6:LF8)</f>
        <v>-1555402.83</v>
      </c>
      <c r="LG5" s="49"/>
      <c r="LH5" s="49">
        <f>SUM(KX5:LF5)</f>
        <v>74570739.579999998</v>
      </c>
      <c r="LJ5" s="48" t="s">
        <v>145</v>
      </c>
      <c r="LK5" s="49">
        <f>SUM(LK6:LK8)</f>
        <v>29440758.830000002</v>
      </c>
      <c r="LL5" s="50"/>
      <c r="LM5" s="49">
        <f>SUM(LM6:LM8)</f>
        <v>8457185.1199999992</v>
      </c>
      <c r="LN5" s="49"/>
      <c r="LO5" s="157">
        <f>SUM(LO6:LO8)</f>
        <v>0</v>
      </c>
      <c r="LP5" s="49"/>
      <c r="LQ5" s="49">
        <f>SUM(LQ6:LQ8)</f>
        <v>502500</v>
      </c>
      <c r="LR5" s="49"/>
      <c r="LS5" s="49">
        <f>SUM(LS6:LS8)</f>
        <v>-809949.09</v>
      </c>
      <c r="LT5" s="49"/>
      <c r="LU5" s="49">
        <f>SUM(LK5:LS5)</f>
        <v>37590494.859999999</v>
      </c>
      <c r="LV5" s="49"/>
      <c r="LW5" s="48" t="s">
        <v>145</v>
      </c>
      <c r="LX5" s="49">
        <f>SUM(LX6:LX8)</f>
        <v>112126086.42</v>
      </c>
      <c r="LY5" s="50"/>
      <c r="LZ5" s="49">
        <f>SUM(LZ6:LZ8)</f>
        <v>23591443.030000001</v>
      </c>
      <c r="MA5" s="49"/>
      <c r="MB5" s="166">
        <f>SUM(MB6:MB8)</f>
        <v>0</v>
      </c>
      <c r="MC5" s="49"/>
      <c r="MD5" s="49">
        <f>SUM(MD6:MD8)</f>
        <v>2010000</v>
      </c>
      <c r="ME5" s="49"/>
      <c r="MF5" s="49">
        <f>SUM(MF6:MF8)</f>
        <v>-2940906.23</v>
      </c>
      <c r="MG5" s="49"/>
      <c r="MH5" s="49">
        <f>SUM(LX5:MF5)</f>
        <v>134786623.22</v>
      </c>
      <c r="MK5" s="48" t="s">
        <v>145</v>
      </c>
      <c r="ML5" s="49">
        <f>SUM(ML6:ML8)</f>
        <v>84873595.910000011</v>
      </c>
      <c r="MM5" s="50"/>
      <c r="MN5" s="49">
        <f>SUM(MN6:MN8)</f>
        <v>17084716.449999996</v>
      </c>
      <c r="MO5" s="49"/>
      <c r="MP5" s="166">
        <f>SUM(MP6:MP8)</f>
        <v>0</v>
      </c>
      <c r="MQ5" s="49"/>
      <c r="MR5" s="49">
        <f>SUM(MR6:MR8)</f>
        <v>1507500</v>
      </c>
      <c r="MS5" s="49"/>
      <c r="MT5" s="49">
        <f>SUM(MT6:MT8)</f>
        <v>-2207498.04</v>
      </c>
      <c r="MU5" s="49"/>
      <c r="MV5" s="49">
        <f>SUM(ML5:MT5)</f>
        <v>101258314.32000001</v>
      </c>
      <c r="MY5" s="48" t="s">
        <v>145</v>
      </c>
      <c r="MZ5" s="49">
        <f>SUM(MZ6:MZ8)</f>
        <v>74472738.890000001</v>
      </c>
      <c r="NA5" s="50"/>
      <c r="NB5" s="49">
        <f>SUM(NB6:NB8)</f>
        <v>10738385.23</v>
      </c>
      <c r="NC5" s="49"/>
      <c r="ND5" s="157">
        <f>SUM(ND6:ND8)</f>
        <v>0</v>
      </c>
      <c r="NE5" s="49"/>
      <c r="NF5" s="49">
        <f>SUM(NF6:NF8)</f>
        <v>1005000</v>
      </c>
      <c r="NG5" s="49"/>
      <c r="NH5" s="49">
        <f>SUM(NH6:NH8)</f>
        <v>-1455703.65</v>
      </c>
      <c r="NI5" s="49"/>
      <c r="NJ5" s="49">
        <f>SUM(MZ5:NH5)</f>
        <v>84760420.469999999</v>
      </c>
      <c r="NL5" s="48" t="s">
        <v>145</v>
      </c>
      <c r="NM5" s="49">
        <f>SUM(NM6:NM8)</f>
        <v>60500442.350000001</v>
      </c>
      <c r="NN5" s="50"/>
      <c r="NO5" s="49">
        <f>SUM(NO6:NO8)</f>
        <v>5706255.9299999997</v>
      </c>
      <c r="NP5" s="49"/>
      <c r="NQ5" s="157">
        <f>SUM(NQ6:NQ8)</f>
        <v>0</v>
      </c>
      <c r="NR5" s="49"/>
      <c r="NS5" s="49">
        <f>SUM(NS6:NS8)</f>
        <v>561000</v>
      </c>
      <c r="NT5" s="49"/>
      <c r="NU5" s="49">
        <f>SUM(NU6:NU8)</f>
        <v>-814847.59</v>
      </c>
      <c r="NV5" s="49"/>
      <c r="NW5" s="49">
        <f>SUM(NM5:NU5)</f>
        <v>65952850.689999998</v>
      </c>
      <c r="NY5" s="48" t="s">
        <v>145</v>
      </c>
      <c r="NZ5" s="49">
        <f>SUM(NZ6:NZ8)</f>
        <v>72533527.209999993</v>
      </c>
      <c r="OA5" s="50"/>
      <c r="OB5" s="49">
        <f>SUM(OB6:OB8)</f>
        <v>36027661.780000001</v>
      </c>
      <c r="OC5" s="49"/>
      <c r="OD5" s="157">
        <f>SUM(OD6:OD8)</f>
        <v>0</v>
      </c>
      <c r="OE5" s="49"/>
      <c r="OF5" s="49">
        <f>SUM(OF6:OF8)</f>
        <v>4557000</v>
      </c>
      <c r="OG5" s="49"/>
      <c r="OH5" s="49">
        <f>SUM(OH6:OH8)</f>
        <v>-7795050.3399999999</v>
      </c>
      <c r="OI5" s="49"/>
      <c r="OJ5" s="49">
        <f>SUM(NZ5:OH5)</f>
        <v>105323138.64999999</v>
      </c>
      <c r="OK5" s="65"/>
      <c r="OL5" s="48" t="s">
        <v>145</v>
      </c>
      <c r="OM5" s="49">
        <f>SUM(OM6:OM8)</f>
        <v>54369935.18999999</v>
      </c>
      <c r="ON5" s="50"/>
      <c r="OO5" s="49">
        <f>SUM(OO6:OO8)</f>
        <v>30043770.560000006</v>
      </c>
      <c r="OP5" s="49"/>
      <c r="OQ5" s="131">
        <f>SUM(OQ6:OQ8)</f>
        <v>0</v>
      </c>
      <c r="OR5" s="49"/>
      <c r="OS5" s="49">
        <f>SUM(OS6:OS8)</f>
        <v>4986000</v>
      </c>
      <c r="OT5" s="49"/>
      <c r="OU5" s="49">
        <f>SUM(OU6:OU8)</f>
        <v>-7923642.71</v>
      </c>
      <c r="OV5" s="49"/>
      <c r="OW5" s="49">
        <f>SUM(OM5:OU5)</f>
        <v>81476063.040000007</v>
      </c>
      <c r="OX5" s="65"/>
      <c r="OY5" s="48" t="s">
        <v>145</v>
      </c>
      <c r="OZ5" s="49">
        <f>SUM(OZ6:OZ8)</f>
        <v>49158641.799999997</v>
      </c>
      <c r="PA5" s="50"/>
      <c r="PB5" s="49">
        <f>SUM(PB6:PB8)</f>
        <v>24613303.990000002</v>
      </c>
      <c r="PC5" s="49"/>
      <c r="PD5" s="131">
        <f>SUM(PD6:PD8)</f>
        <v>0</v>
      </c>
      <c r="PE5" s="49"/>
      <c r="PF5" s="49">
        <f>SUM(PF6:PF8)</f>
        <v>4215000</v>
      </c>
      <c r="PG5" s="49"/>
      <c r="PH5" s="49">
        <f>SUM(PH6:PH8)</f>
        <v>-6648388.4100000001</v>
      </c>
      <c r="PI5" s="49"/>
      <c r="PJ5" s="49">
        <f>SUM(OZ5:PH5)</f>
        <v>71338557.379999995</v>
      </c>
      <c r="PK5" s="65"/>
      <c r="PL5" s="48" t="s">
        <v>145</v>
      </c>
      <c r="PM5" s="49">
        <f>SUM(PM6:PM8)</f>
        <v>45275708.649999999</v>
      </c>
      <c r="PN5" s="50"/>
      <c r="PO5" s="49">
        <f>SUM(PO6:PO8)</f>
        <v>19637891.710000005</v>
      </c>
      <c r="PP5" s="49"/>
      <c r="PQ5" s="131">
        <f>SUM(PQ6:PQ8)</f>
        <v>0</v>
      </c>
      <c r="PR5" s="49"/>
      <c r="PS5" s="49">
        <f>SUM(PS6:PS8)</f>
        <v>3444000</v>
      </c>
      <c r="PT5" s="49"/>
      <c r="PU5" s="49">
        <f>SUM(PU6:PU8)</f>
        <v>-5421114.4500000002</v>
      </c>
      <c r="PV5" s="49"/>
      <c r="PW5" s="49">
        <f>SUM(PM5:PU5)</f>
        <v>62936485.909999996</v>
      </c>
      <c r="PX5" s="65"/>
      <c r="PY5" s="48" t="s">
        <v>145</v>
      </c>
      <c r="PZ5" s="49">
        <f>SUM(PZ6:PZ8)</f>
        <v>13429768.399999997</v>
      </c>
      <c r="QA5" s="50"/>
      <c r="QB5" s="49">
        <f>SUM(QB6:QB8)</f>
        <v>14457561.300000003</v>
      </c>
      <c r="QC5" s="49"/>
      <c r="QD5" s="49">
        <f>SUM(QD6:QD8)</f>
        <v>2769919.76</v>
      </c>
      <c r="QE5" s="49"/>
      <c r="QF5" s="49">
        <f>SUM(QF6:QF8)</f>
        <v>2583000</v>
      </c>
      <c r="QG5" s="49"/>
      <c r="QH5" s="49">
        <f>SUM(QH6:QH8)</f>
        <v>-4334805.1800000006</v>
      </c>
      <c r="QI5" s="49"/>
      <c r="QJ5" s="49">
        <f>SUM(PZ5:QH5)</f>
        <v>28905444.280000001</v>
      </c>
      <c r="QK5" s="65"/>
      <c r="QL5" s="48" t="s">
        <v>145</v>
      </c>
      <c r="QM5" s="49">
        <f>SUM(QM6:QM8)</f>
        <v>7870432.9800000004</v>
      </c>
      <c r="QN5" s="50"/>
      <c r="QO5" s="49">
        <f>SUM(QO6:QO8)</f>
        <v>9356588.2699999996</v>
      </c>
      <c r="QP5" s="49"/>
      <c r="QQ5" s="49">
        <f>SUM(QQ6:QQ8)</f>
        <v>1782625.59</v>
      </c>
      <c r="QR5" s="49"/>
      <c r="QS5" s="49">
        <f>SUM(QS6:QS8)</f>
        <v>1722000</v>
      </c>
      <c r="QT5" s="49"/>
      <c r="QU5" s="49">
        <f>SUM(QU6:QU8)</f>
        <v>-3341286.5</v>
      </c>
      <c r="QV5" s="49"/>
      <c r="QW5" s="49">
        <f>SUM(QM5:QU5)</f>
        <v>17390360.34</v>
      </c>
      <c r="QX5" s="65"/>
      <c r="QY5" s="48" t="s">
        <v>145</v>
      </c>
      <c r="QZ5" s="49">
        <f>SUM(QZ6:QZ8)</f>
        <v>3450339.8899999997</v>
      </c>
      <c r="RA5" s="50"/>
      <c r="RB5" s="49">
        <f>SUM(RB6:RB8)</f>
        <v>3468336.4299999997</v>
      </c>
      <c r="RC5" s="49"/>
      <c r="RD5" s="49">
        <f>SUM(RD6:RD8)</f>
        <v>841693.3</v>
      </c>
      <c r="RE5" s="49"/>
      <c r="RF5" s="49">
        <f>SUM(RF6:RF8)</f>
        <v>861000</v>
      </c>
      <c r="RG5" s="49"/>
      <c r="RH5" s="49">
        <f>SUM(RH6:RH8)</f>
        <v>-861000</v>
      </c>
      <c r="RI5" s="49"/>
      <c r="RJ5" s="49">
        <f>SUM(QZ5:RH5)</f>
        <v>7760369.6199999992</v>
      </c>
      <c r="RK5" s="65"/>
      <c r="RL5" s="48" t="s">
        <v>145</v>
      </c>
      <c r="RM5" s="49">
        <f>SUM(RM6:RM8)</f>
        <v>30887240.030000001</v>
      </c>
      <c r="RN5" s="50"/>
      <c r="RO5" s="49">
        <f>SUM(RO6:RO8)</f>
        <v>18855490.699999999</v>
      </c>
      <c r="RP5" s="49"/>
      <c r="RQ5" s="49">
        <f>SUM(RQ6:RQ8)</f>
        <v>3546025.8200000003</v>
      </c>
      <c r="RR5" s="49"/>
      <c r="RS5" s="49">
        <f>SUM(RS6:RS8)</f>
        <v>5273997.6900000013</v>
      </c>
      <c r="RT5" s="49"/>
      <c r="RU5" s="49">
        <f>SUM(RU6:RU8)</f>
        <v>-9129617.870000001</v>
      </c>
      <c r="RV5" s="49"/>
      <c r="RW5" s="49">
        <f>SUM(RM5:RU5)</f>
        <v>49433136.370000005</v>
      </c>
      <c r="RX5" s="65"/>
      <c r="RY5" s="48" t="s">
        <v>145</v>
      </c>
      <c r="RZ5" s="49">
        <f>SUM(RZ6:RZ8)</f>
        <v>22060310.809999995</v>
      </c>
      <c r="SA5" s="50"/>
      <c r="SB5" s="49">
        <f>SUM(SB6:SB8)</f>
        <v>11378128.119999999</v>
      </c>
      <c r="SC5" s="49"/>
      <c r="SD5" s="49">
        <f>SUM(SD6:SD8)</f>
        <v>2558391.15</v>
      </c>
      <c r="SE5" s="49"/>
      <c r="SF5" s="49">
        <f>SUM(SF6:SF8)</f>
        <v>3644891.65</v>
      </c>
      <c r="SG5" s="49"/>
      <c r="SH5" s="49">
        <f>SUM(SH6:SH8)</f>
        <v>-4406411.83</v>
      </c>
      <c r="SI5" s="49"/>
      <c r="SJ5" s="49">
        <f>SUM(RZ5:SH5)</f>
        <v>35235309.899999991</v>
      </c>
      <c r="SK5" s="65"/>
      <c r="SL5" s="48" t="s">
        <v>145</v>
      </c>
      <c r="SM5" s="49">
        <f>SUM(SM6:SM8)</f>
        <v>12189521.18</v>
      </c>
      <c r="SN5" s="50"/>
      <c r="SO5" s="49">
        <f>SUM(SO6:SO8)</f>
        <v>7287013.709999999</v>
      </c>
      <c r="SP5" s="49"/>
      <c r="SQ5" s="49">
        <f>SUM(SQ6:SQ8)</f>
        <v>1960560.26</v>
      </c>
      <c r="SR5" s="49"/>
      <c r="SS5" s="49">
        <f>SUM(SS6:SS8)</f>
        <v>2427774.9899999998</v>
      </c>
      <c r="ST5" s="49"/>
      <c r="SU5" s="49">
        <f>SUM(SU6:SU8)</f>
        <v>-3351894.6799999997</v>
      </c>
      <c r="SV5" s="43"/>
      <c r="SW5" s="49">
        <f>SUM(SM5:SU5)</f>
        <v>20512975.460000001</v>
      </c>
      <c r="SX5" s="65"/>
      <c r="SY5" s="48" t="s">
        <v>145</v>
      </c>
      <c r="SZ5" s="49">
        <f>SUM(SZ6:SZ8)</f>
        <v>3798545.2799999993</v>
      </c>
      <c r="TA5" s="50"/>
      <c r="TB5" s="49">
        <f>SUM(TB6:TB8)</f>
        <v>3106848.4899999998</v>
      </c>
      <c r="TC5" s="49"/>
      <c r="TD5" s="49">
        <f>SUM(TD6:TD8)</f>
        <v>1086115.97</v>
      </c>
      <c r="TE5" s="49"/>
      <c r="TF5" s="49">
        <f>SUM(TF6:TF8)</f>
        <v>810000</v>
      </c>
      <c r="TG5" s="49"/>
      <c r="TH5" s="49">
        <f>SUM(TH6:TH8)</f>
        <v>-910500</v>
      </c>
      <c r="TI5" s="43"/>
      <c r="TJ5" s="49">
        <f>SUM(SZ5:TH5)</f>
        <v>7891009.7399999984</v>
      </c>
      <c r="TK5" s="65"/>
      <c r="TL5" s="48" t="s">
        <v>145</v>
      </c>
      <c r="TM5" s="49">
        <f>SUM(TM6:TM8)</f>
        <v>67876110.270000011</v>
      </c>
      <c r="TN5" s="50"/>
      <c r="TO5" s="49">
        <f>SUM(TO6:TO8)</f>
        <v>13065243.800000001</v>
      </c>
      <c r="TP5" s="49"/>
      <c r="TQ5" s="49">
        <f>SUM(TQ6:TQ8)</f>
        <v>4480378.9399999995</v>
      </c>
      <c r="TR5" s="49"/>
      <c r="TS5" s="49">
        <f>SUM(TS6:TS8)</f>
        <v>4736400</v>
      </c>
      <c r="TT5" s="49"/>
      <c r="TU5" s="49">
        <f>SUM(TU6:TU8)</f>
        <v>-6559715.7699999996</v>
      </c>
      <c r="TV5" s="49"/>
      <c r="TW5" s="49">
        <f>SUM(TM5:TU5)</f>
        <v>83598417.24000001</v>
      </c>
      <c r="TX5" s="65"/>
      <c r="TY5" s="48" t="s">
        <v>145</v>
      </c>
      <c r="TZ5" s="49">
        <f>SUM(TZ6:TZ8)</f>
        <v>46306686.529999994</v>
      </c>
      <c r="UA5" s="50"/>
      <c r="UB5" s="49">
        <f>SUM(UB6:UB8)</f>
        <v>8963585.2700000014</v>
      </c>
      <c r="UC5" s="49"/>
      <c r="UD5" s="49">
        <f>SUM(UD6:UD8)</f>
        <v>3375961.3</v>
      </c>
      <c r="UE5" s="49">
        <f>SUM(UE6:UE8)</f>
        <v>0</v>
      </c>
      <c r="UF5" s="49">
        <f>SUM(UF6:UF8)</f>
        <v>3552300</v>
      </c>
      <c r="UG5" s="49"/>
      <c r="UH5" s="49">
        <f>SUM(UH6:UH8)</f>
        <v>-4212454.7699999996</v>
      </c>
      <c r="UI5" s="49"/>
      <c r="UJ5" s="49">
        <f>SUM(TZ5:UH5)</f>
        <v>57986078.329999998</v>
      </c>
      <c r="UK5" s="65"/>
      <c r="UL5" s="65" t="s">
        <v>145</v>
      </c>
      <c r="UM5" s="49">
        <v>9411546.620000001</v>
      </c>
      <c r="UN5" s="50"/>
      <c r="UO5" s="49">
        <v>5933718.8399999999</v>
      </c>
      <c r="UP5" s="49"/>
      <c r="UQ5" s="49">
        <v>1815596.29</v>
      </c>
      <c r="UR5" s="49"/>
      <c r="US5" s="49">
        <v>2368200</v>
      </c>
      <c r="UT5" s="49"/>
      <c r="UU5" s="49">
        <v>-2479309.77</v>
      </c>
      <c r="UV5" s="43"/>
      <c r="UW5" s="49">
        <v>17049751.98</v>
      </c>
      <c r="UX5" s="65"/>
      <c r="UY5" s="65" t="s">
        <v>145</v>
      </c>
      <c r="UZ5" s="49">
        <f>6412.43807*1000</f>
        <v>6412438.0700000003</v>
      </c>
      <c r="VA5" s="50"/>
      <c r="VB5" s="49">
        <f>2820.8894*1000</f>
        <v>2820889.4</v>
      </c>
      <c r="VC5" s="49"/>
      <c r="VD5" s="49">
        <f>828.98882*1000</f>
        <v>828988.82000000007</v>
      </c>
      <c r="VE5" s="49"/>
      <c r="VF5" s="49">
        <f>1205.1*1000</f>
        <v>1205100</v>
      </c>
      <c r="VG5" s="49"/>
      <c r="VH5" s="49">
        <f>-1190.69728*1000</f>
        <v>-1190697.28</v>
      </c>
      <c r="VI5" s="43"/>
      <c r="VJ5" s="49">
        <f>10076.71901*1000</f>
        <v>10076719.010000002</v>
      </c>
      <c r="VK5" s="65"/>
      <c r="VL5" s="48" t="s">
        <v>145</v>
      </c>
      <c r="VM5" s="49">
        <f>SUM(VM6:VM8)</f>
        <v>57842872.519999996</v>
      </c>
      <c r="VN5" s="50"/>
      <c r="VO5" s="49">
        <f>SUM(VO6:VO8)</f>
        <v>16049570.569999998</v>
      </c>
      <c r="VP5" s="49"/>
      <c r="VQ5" s="49">
        <f>SUM(VQ6:VQ8)</f>
        <v>5048068.4799999995</v>
      </c>
      <c r="VR5" s="49"/>
      <c r="VS5" s="49">
        <f>SUM(VS6:VS8)</f>
        <v>4932601.24</v>
      </c>
      <c r="VT5" s="49"/>
      <c r="VU5" s="49">
        <f>SUM(VU6:VU8)</f>
        <v>-5821897.2400000002</v>
      </c>
      <c r="VV5" s="49"/>
      <c r="VW5" s="49">
        <f>SUM(VM5:VU5)</f>
        <v>78051215.569999993</v>
      </c>
      <c r="VX5" s="65"/>
      <c r="VY5" s="48" t="s">
        <v>145</v>
      </c>
      <c r="VZ5" s="49">
        <f>SUM(VZ6:VZ8)</f>
        <v>31534715.619999997</v>
      </c>
      <c r="WA5" s="50"/>
      <c r="WB5" s="49">
        <f>SUM(WB6:WB8)</f>
        <v>13047889.209999999</v>
      </c>
      <c r="WC5" s="49"/>
      <c r="WD5" s="49">
        <f>SUM(WD6:WD8)</f>
        <v>3529505</v>
      </c>
      <c r="WE5" s="49">
        <f>SUM(WE6:WE8)</f>
        <v>0</v>
      </c>
      <c r="WF5" s="49">
        <f>SUM(WF6:WF8)</f>
        <v>3733356.6500000004</v>
      </c>
      <c r="WG5" s="49"/>
      <c r="WH5" s="49">
        <f>SUM(WH6:WH8)</f>
        <v>-3733356.6500000004</v>
      </c>
      <c r="WI5" s="49"/>
      <c r="WJ5" s="49">
        <f>SUM(VZ5:WH5)</f>
        <v>48112109.829999998</v>
      </c>
      <c r="WK5" s="65"/>
      <c r="WL5" s="65" t="s">
        <v>145</v>
      </c>
      <c r="WM5" s="49">
        <v>16513477.060000004</v>
      </c>
      <c r="WN5" s="50"/>
      <c r="WO5" s="49">
        <v>8644102.6699999999</v>
      </c>
      <c r="WP5" s="49"/>
      <c r="WQ5" s="49">
        <v>2301109.0000000005</v>
      </c>
      <c r="WR5" s="49"/>
      <c r="WS5" s="49">
        <v>2543853.9900000002</v>
      </c>
      <c r="WT5" s="49"/>
      <c r="WU5" s="49">
        <v>-2543853.9900000002</v>
      </c>
      <c r="WV5" s="43"/>
      <c r="WW5" s="49">
        <v>27458688.730000004</v>
      </c>
      <c r="WX5" s="49"/>
      <c r="WY5" s="65" t="s">
        <v>145</v>
      </c>
      <c r="WZ5" s="49">
        <f>3619.48825*1000</f>
        <v>3619488.25</v>
      </c>
      <c r="XA5" s="50"/>
      <c r="XB5" s="49">
        <f>4043.02909*1000</f>
        <v>4043029.09</v>
      </c>
      <c r="XC5" s="49"/>
      <c r="XD5" s="49">
        <f>1172.86223*1000</f>
        <v>1172862.23</v>
      </c>
      <c r="XE5" s="49">
        <v>0</v>
      </c>
      <c r="XF5" s="49">
        <f>1223.60773*1000</f>
        <v>1223607.73</v>
      </c>
      <c r="XG5" s="49"/>
      <c r="XH5" s="49">
        <f>-1223.60773*1000</f>
        <v>-1223607.73</v>
      </c>
      <c r="XI5" s="43"/>
      <c r="XJ5" s="49">
        <f>8835.37957*1000</f>
        <v>8835379.5699999984</v>
      </c>
      <c r="XK5" s="49"/>
      <c r="XL5" s="65" t="s">
        <v>145</v>
      </c>
      <c r="XM5" s="49">
        <f>SUM(XM6:XM8)</f>
        <v>53359520.377709188</v>
      </c>
      <c r="XN5" s="50"/>
      <c r="XO5" s="49">
        <f>SUM(XO6:XO8)</f>
        <v>18219395.219999999</v>
      </c>
      <c r="XP5" s="49"/>
      <c r="XQ5" s="49">
        <f>SUM(XQ6:XQ8)</f>
        <v>5796912.0300000003</v>
      </c>
      <c r="XR5" s="49"/>
      <c r="XS5" s="49">
        <f>SUM(XS6:XS8)</f>
        <v>5247162.6722908253</v>
      </c>
      <c r="XT5" s="49">
        <f>SUM(XT6:XT8)</f>
        <v>0</v>
      </c>
      <c r="XU5" s="49">
        <f>SUM(XU6:XU8)</f>
        <v>-5247162.6722908253</v>
      </c>
      <c r="XV5" s="43"/>
      <c r="XW5" s="49">
        <f>SUM(XM5:XU5)</f>
        <v>77375827.62770918</v>
      </c>
      <c r="XX5" s="49"/>
      <c r="XY5" s="48" t="s">
        <v>145</v>
      </c>
      <c r="XZ5" s="49">
        <f>SUM(XZ6:XZ8)</f>
        <v>28797551.360000003</v>
      </c>
      <c r="YA5" s="50"/>
      <c r="YB5" s="49">
        <f>SUM(YB6:YB8)</f>
        <v>13061706.300000001</v>
      </c>
      <c r="YC5" s="49"/>
      <c r="YD5" s="49">
        <f>SUM(YD6:YD8)</f>
        <v>4511795</v>
      </c>
      <c r="YE5" s="49"/>
      <c r="YF5" s="49">
        <f>SUM(YF6:YF8)</f>
        <v>3988162.46</v>
      </c>
      <c r="YG5" s="49">
        <f>SUM(YG6:YG8)</f>
        <v>0</v>
      </c>
      <c r="YH5" s="49">
        <f>SUM(YH6:YH8)</f>
        <v>-3988162.46</v>
      </c>
      <c r="YI5" s="43"/>
      <c r="YJ5" s="49">
        <f>SUM(XZ5:YH5)</f>
        <v>46371052.660000004</v>
      </c>
    </row>
    <row r="6" spans="1:660">
      <c r="A6" s="51" t="s">
        <v>146</v>
      </c>
      <c r="B6" s="43"/>
      <c r="C6" s="52"/>
      <c r="F6" s="43"/>
      <c r="L6" s="149"/>
      <c r="O6" s="51" t="s">
        <v>146</v>
      </c>
      <c r="P6" s="43"/>
      <c r="Q6" s="52"/>
      <c r="T6" s="43"/>
      <c r="Z6" s="149"/>
      <c r="AC6" s="51" t="s">
        <v>146</v>
      </c>
      <c r="AD6" s="43"/>
      <c r="AE6" s="52"/>
      <c r="AH6" s="43"/>
      <c r="AN6" s="149"/>
      <c r="AQ6" s="51" t="s">
        <v>146</v>
      </c>
      <c r="AR6" s="43">
        <v>158000620.30000001</v>
      </c>
      <c r="AS6" s="52"/>
      <c r="AT6" s="43">
        <v>11999256.9</v>
      </c>
      <c r="AV6" s="43">
        <v>0</v>
      </c>
      <c r="AX6" s="43">
        <v>0</v>
      </c>
      <c r="AZ6" s="43">
        <v>0</v>
      </c>
      <c r="BB6" s="149">
        <f>SUM(AR6:AZ6)</f>
        <v>169999877.20000002</v>
      </c>
      <c r="BE6" s="51" t="s">
        <v>146</v>
      </c>
      <c r="BF6" s="43">
        <v>426517525.06000006</v>
      </c>
      <c r="BG6" s="52"/>
      <c r="BH6" s="43">
        <v>44664891.769999996</v>
      </c>
      <c r="BJ6" s="43">
        <v>0</v>
      </c>
      <c r="BL6" s="43">
        <v>0</v>
      </c>
      <c r="BN6" s="43">
        <v>0</v>
      </c>
      <c r="BP6" s="149">
        <f>SUM(BF6:BN6)</f>
        <v>471182416.83000004</v>
      </c>
      <c r="BS6" s="51" t="s">
        <v>146</v>
      </c>
      <c r="BT6" s="43">
        <v>317630867.76999992</v>
      </c>
      <c r="BU6" s="52"/>
      <c r="BV6" s="43">
        <v>31971978.150000002</v>
      </c>
      <c r="BX6" s="43">
        <v>0</v>
      </c>
      <c r="BZ6" s="43">
        <v>0</v>
      </c>
      <c r="CB6" s="43">
        <v>0</v>
      </c>
      <c r="CD6" s="149">
        <f>SUM(BT6:CB6)</f>
        <v>349602845.9199999</v>
      </c>
      <c r="CG6" s="51" t="s">
        <v>146</v>
      </c>
      <c r="CH6" s="43">
        <v>247148505.01000005</v>
      </c>
      <c r="CI6" s="52"/>
      <c r="CJ6" s="43">
        <v>22422254.830000002</v>
      </c>
      <c r="CL6" s="43">
        <v>0</v>
      </c>
      <c r="CN6" s="43">
        <v>0</v>
      </c>
      <c r="CP6" s="43">
        <v>0</v>
      </c>
      <c r="CR6" s="149">
        <f>SUM(CH6:CP6)</f>
        <v>269570759.84000003</v>
      </c>
      <c r="CU6" s="51" t="s">
        <v>146</v>
      </c>
      <c r="CV6" s="43">
        <v>201087742.66999999</v>
      </c>
      <c r="CW6" s="52"/>
      <c r="CX6" s="43">
        <v>9880899.6100000013</v>
      </c>
      <c r="CZ6" s="43">
        <v>0</v>
      </c>
      <c r="DB6" s="43">
        <v>0</v>
      </c>
      <c r="DD6" s="43">
        <v>0</v>
      </c>
      <c r="DF6" s="149">
        <f>SUM(CV6:DD6)</f>
        <v>210968642.28</v>
      </c>
      <c r="DI6" s="51" t="s">
        <v>146</v>
      </c>
      <c r="DJ6" s="43">
        <v>250671123.82452813</v>
      </c>
      <c r="DK6" s="52"/>
      <c r="DL6" s="43">
        <v>36323637.440000005</v>
      </c>
      <c r="DN6" s="43">
        <v>0</v>
      </c>
      <c r="DP6" s="43">
        <v>0</v>
      </c>
      <c r="DR6" s="43">
        <v>0</v>
      </c>
      <c r="DT6" s="149">
        <f>SUM(DJ6:DR6)</f>
        <v>286994761.26452816</v>
      </c>
      <c r="DW6" s="51" t="s">
        <v>146</v>
      </c>
      <c r="DX6" s="43">
        <v>161615907.63000003</v>
      </c>
      <c r="DY6" s="52"/>
      <c r="DZ6" s="43">
        <v>26384212.300000001</v>
      </c>
      <c r="EB6" s="43">
        <v>0</v>
      </c>
      <c r="ED6" s="43">
        <v>0</v>
      </c>
      <c r="EF6" s="43">
        <v>0</v>
      </c>
      <c r="EH6" s="149">
        <f>SUM(DX6:EF6)</f>
        <v>188000119.93000004</v>
      </c>
      <c r="EK6" s="51" t="s">
        <v>146</v>
      </c>
      <c r="EL6" s="43">
        <v>116297396.66155587</v>
      </c>
      <c r="EM6" s="52"/>
      <c r="EN6" s="43">
        <v>18291986.000000004</v>
      </c>
      <c r="EP6" s="43">
        <v>0</v>
      </c>
      <c r="ER6" s="43">
        <v>0</v>
      </c>
      <c r="ET6" s="43">
        <v>0</v>
      </c>
      <c r="EV6" s="149">
        <f>SUM(EL6:ET6)</f>
        <v>134589382.66155589</v>
      </c>
      <c r="EY6" s="51" t="s">
        <v>146</v>
      </c>
      <c r="EZ6" s="43">
        <v>84724494.640000015</v>
      </c>
      <c r="FA6" s="52"/>
      <c r="FB6" s="43">
        <v>7568525.0699999994</v>
      </c>
      <c r="FD6" s="43">
        <v>0</v>
      </c>
      <c r="FF6" s="43">
        <v>0</v>
      </c>
      <c r="FH6" s="43">
        <v>0</v>
      </c>
      <c r="FJ6" s="149">
        <f>SUM(EZ6:FH6)</f>
        <v>92293019.710000008</v>
      </c>
      <c r="FM6" s="51" t="s">
        <v>146</v>
      </c>
      <c r="FN6" s="43">
        <v>107208451.88657214</v>
      </c>
      <c r="FO6" s="52"/>
      <c r="FP6" s="43">
        <v>28672372.859999999</v>
      </c>
      <c r="FR6" s="43">
        <v>0</v>
      </c>
      <c r="FT6" s="43">
        <v>0</v>
      </c>
      <c r="FV6" s="43">
        <v>0</v>
      </c>
      <c r="FX6" s="149">
        <f>SUM(FN6:FV6)</f>
        <v>135880824.74657214</v>
      </c>
      <c r="GA6" s="51" t="s">
        <v>146</v>
      </c>
      <c r="GB6" s="43">
        <v>67781464.540000007</v>
      </c>
      <c r="GC6" s="52"/>
      <c r="GD6" s="43">
        <v>22284268.409999996</v>
      </c>
      <c r="GF6" s="43">
        <v>0</v>
      </c>
      <c r="GH6" s="43">
        <v>0</v>
      </c>
      <c r="GJ6" s="43">
        <v>0</v>
      </c>
      <c r="GL6" s="149">
        <f>SUM(GB6:GJ6)</f>
        <v>90065732.950000003</v>
      </c>
      <c r="GO6" s="51" t="s">
        <v>146</v>
      </c>
      <c r="GP6" s="43">
        <v>51629612.168277003</v>
      </c>
      <c r="GQ6" s="52"/>
      <c r="GR6" s="43">
        <v>15050028.751699999</v>
      </c>
      <c r="GT6" s="43">
        <v>0</v>
      </c>
      <c r="GV6" s="43">
        <v>0</v>
      </c>
      <c r="GX6" s="43">
        <v>0</v>
      </c>
      <c r="GZ6" s="149">
        <f>SUM(GP6:GX6)</f>
        <v>66679640.919977002</v>
      </c>
      <c r="HC6" s="51" t="s">
        <v>146</v>
      </c>
      <c r="HD6" s="43">
        <v>28220172.34</v>
      </c>
      <c r="HE6" s="52"/>
      <c r="HF6" s="43">
        <v>7179267.75</v>
      </c>
      <c r="HH6" s="43">
        <v>0</v>
      </c>
      <c r="HJ6" s="43">
        <v>0</v>
      </c>
      <c r="HL6" s="43">
        <v>0</v>
      </c>
      <c r="HN6" s="149">
        <f>SUM(HD6:HL6)</f>
        <v>35399440.090000004</v>
      </c>
      <c r="HQ6" s="51" t="s">
        <v>146</v>
      </c>
      <c r="HR6" s="43">
        <v>99837917.439999998</v>
      </c>
      <c r="HS6" s="52"/>
      <c r="HT6" s="43">
        <v>26508037.940000001</v>
      </c>
      <c r="HV6" s="43">
        <v>0</v>
      </c>
      <c r="HX6" s="43">
        <v>0</v>
      </c>
      <c r="HZ6" s="43">
        <v>0</v>
      </c>
      <c r="IB6" s="149">
        <f>SUM(HR6:HZ6)</f>
        <v>126345955.38</v>
      </c>
      <c r="IE6" s="51" t="s">
        <v>146</v>
      </c>
      <c r="IF6" s="43">
        <v>55536508.109999992</v>
      </c>
      <c r="IG6" s="52"/>
      <c r="IH6" s="43">
        <v>19080051.240000002</v>
      </c>
      <c r="IJ6" s="43">
        <v>0</v>
      </c>
      <c r="IL6" s="43">
        <v>0</v>
      </c>
      <c r="IN6" s="43">
        <v>0</v>
      </c>
      <c r="IP6" s="149">
        <f>SUM(IF6:IN6)</f>
        <v>74616559.349999994</v>
      </c>
      <c r="IS6" s="51" t="s">
        <v>146</v>
      </c>
      <c r="IT6" s="43">
        <v>47098302.079999998</v>
      </c>
      <c r="IU6" s="52"/>
      <c r="IV6" s="43">
        <v>12418716.91</v>
      </c>
      <c r="IX6" s="43">
        <v>0</v>
      </c>
      <c r="IZ6" s="43">
        <v>0</v>
      </c>
      <c r="JB6" s="43">
        <v>0</v>
      </c>
      <c r="JD6" s="149">
        <f>SUM(IT6:JB6)</f>
        <v>59517018.989999995</v>
      </c>
      <c r="JG6" s="51" t="s">
        <v>146</v>
      </c>
      <c r="JH6" s="43">
        <v>27343845.940000001</v>
      </c>
      <c r="JI6" s="52"/>
      <c r="JJ6" s="43">
        <v>5586198.8800000008</v>
      </c>
      <c r="JL6" s="43">
        <v>0</v>
      </c>
      <c r="JN6" s="43">
        <v>0</v>
      </c>
      <c r="JP6" s="43">
        <v>0</v>
      </c>
      <c r="JR6" s="149">
        <f>SUM(JH6:JP6)</f>
        <v>32930044.82</v>
      </c>
      <c r="JU6" s="51" t="s">
        <v>146</v>
      </c>
      <c r="JV6" s="43">
        <v>96736533.379999995</v>
      </c>
      <c r="JW6" s="52"/>
      <c r="JX6" s="43">
        <v>26790515.850000001</v>
      </c>
      <c r="JZ6" s="43">
        <v>0</v>
      </c>
      <c r="KB6" s="43">
        <v>0</v>
      </c>
      <c r="KD6" s="43">
        <v>0</v>
      </c>
      <c r="KF6" s="149">
        <f>SUM(JV6:KD6)</f>
        <v>123527049.22999999</v>
      </c>
      <c r="KI6" s="51" t="s">
        <v>146</v>
      </c>
      <c r="KJ6" s="43">
        <v>74750881.449999988</v>
      </c>
      <c r="KK6" s="52"/>
      <c r="KL6" s="43">
        <v>20307268.350000001</v>
      </c>
      <c r="KN6" s="43">
        <v>0</v>
      </c>
      <c r="KP6" s="43">
        <v>0</v>
      </c>
      <c r="KR6" s="43">
        <v>0</v>
      </c>
      <c r="KT6" s="149">
        <f>SUM(KJ6:KR6)</f>
        <v>95058149.799999982</v>
      </c>
      <c r="KW6" s="51" t="s">
        <v>146</v>
      </c>
      <c r="KX6" s="43">
        <v>58188454.060000002</v>
      </c>
      <c r="KY6" s="52"/>
      <c r="KZ6" s="43">
        <v>14907552.779999999</v>
      </c>
      <c r="LB6" s="43">
        <v>0</v>
      </c>
      <c r="LD6" s="43">
        <v>0</v>
      </c>
      <c r="LF6" s="43">
        <v>0</v>
      </c>
      <c r="LH6" s="149">
        <f>SUM(KX6:LF6)</f>
        <v>73096006.840000004</v>
      </c>
      <c r="LJ6" s="51" t="s">
        <v>146</v>
      </c>
      <c r="LK6" s="43">
        <v>29299363.470000003</v>
      </c>
      <c r="LL6" s="52"/>
      <c r="LM6" s="43">
        <v>7351920.0399999991</v>
      </c>
      <c r="LO6" s="156">
        <v>0</v>
      </c>
      <c r="LQ6" s="43">
        <v>0</v>
      </c>
      <c r="LS6" s="43">
        <v>0</v>
      </c>
      <c r="LU6" s="149">
        <f>SUM(LK6:LS6)</f>
        <v>36651283.510000005</v>
      </c>
      <c r="LV6" s="49"/>
      <c r="LW6" s="51" t="s">
        <v>146</v>
      </c>
      <c r="LX6" s="43">
        <v>111691674.65000001</v>
      </c>
      <c r="LY6" s="52"/>
      <c r="LZ6" s="43">
        <v>20971659.310000002</v>
      </c>
      <c r="MB6" s="43">
        <v>0</v>
      </c>
      <c r="MD6" s="43">
        <v>0</v>
      </c>
      <c r="MF6" s="43">
        <v>0</v>
      </c>
      <c r="MH6" s="149">
        <f>SUM(LX6:MF6)</f>
        <v>132663333.96000001</v>
      </c>
      <c r="MK6" s="51" t="s">
        <v>146</v>
      </c>
      <c r="ML6" s="43">
        <v>84539892.470000014</v>
      </c>
      <c r="MM6" s="52"/>
      <c r="MN6" s="43">
        <v>14866612.639999997</v>
      </c>
      <c r="MP6" s="43">
        <v>0</v>
      </c>
      <c r="MR6" s="43">
        <v>0</v>
      </c>
      <c r="MT6" s="43">
        <v>0</v>
      </c>
      <c r="MV6" s="149">
        <f>SUM(ML6:MT6)</f>
        <v>99406505.110000014</v>
      </c>
      <c r="MY6" s="51" t="s">
        <v>146</v>
      </c>
      <c r="MZ6" s="43">
        <v>74276367.209999993</v>
      </c>
      <c r="NA6" s="52"/>
      <c r="NB6" s="43">
        <v>9209245.3000000007</v>
      </c>
      <c r="ND6" s="43">
        <v>0</v>
      </c>
      <c r="NF6" s="43">
        <v>0</v>
      </c>
      <c r="NH6" s="43">
        <v>0</v>
      </c>
      <c r="NJ6" s="149">
        <f>SUM(MZ6:NH6)</f>
        <v>83485612.50999999</v>
      </c>
      <c r="NL6" s="51" t="s">
        <v>146</v>
      </c>
      <c r="NM6" s="43">
        <v>60379495.32</v>
      </c>
      <c r="NN6" s="52"/>
      <c r="NO6" s="43">
        <v>4855131.76</v>
      </c>
      <c r="NQ6" s="156">
        <v>0</v>
      </c>
      <c r="NS6" s="43">
        <v>0</v>
      </c>
      <c r="NU6" s="43">
        <v>0</v>
      </c>
      <c r="NW6" s="149">
        <f>SUM(NM6:NU6)</f>
        <v>65234627.079999998</v>
      </c>
      <c r="NY6" s="51" t="s">
        <v>146</v>
      </c>
      <c r="NZ6" s="43">
        <v>71916656.289999992</v>
      </c>
      <c r="OA6" s="52">
        <v>0</v>
      </c>
      <c r="OB6" s="43">
        <v>29109226.419999998</v>
      </c>
      <c r="OD6" s="43">
        <v>0</v>
      </c>
      <c r="OF6" s="43">
        <v>0</v>
      </c>
      <c r="OH6" s="43">
        <v>0</v>
      </c>
      <c r="OJ6" s="149">
        <f>SUM(NZ6:OH6)</f>
        <v>101025882.70999999</v>
      </c>
      <c r="OK6" s="68"/>
      <c r="OL6" s="51" t="s">
        <v>146</v>
      </c>
      <c r="OM6" s="43">
        <v>53947461.469999991</v>
      </c>
      <c r="ON6" s="52"/>
      <c r="OO6" s="43">
        <v>24278019.910000004</v>
      </c>
      <c r="OQ6" s="130">
        <v>0</v>
      </c>
      <c r="OS6" s="43">
        <v>0</v>
      </c>
      <c r="OU6" s="43">
        <v>0</v>
      </c>
      <c r="OW6" s="49">
        <f>SUM(OM6:OU6)</f>
        <v>78225481.379999995</v>
      </c>
      <c r="OX6" s="68"/>
      <c r="OY6" s="51" t="s">
        <v>146</v>
      </c>
      <c r="OZ6" s="43">
        <v>48815689.809999995</v>
      </c>
      <c r="PA6" s="52"/>
      <c r="PB6" s="43">
        <v>19892991.73</v>
      </c>
      <c r="PD6" s="130"/>
      <c r="PF6" s="43">
        <v>0</v>
      </c>
      <c r="PH6" s="43">
        <v>0</v>
      </c>
      <c r="PJ6" s="49">
        <f>SUM(OZ6:PH6)</f>
        <v>68708681.539999992</v>
      </c>
      <c r="PK6" s="68"/>
      <c r="PL6" s="51" t="s">
        <v>146</v>
      </c>
      <c r="PM6" s="43">
        <v>45022599.100000001</v>
      </c>
      <c r="PN6" s="52"/>
      <c r="PO6" s="43">
        <v>15987012.820000004</v>
      </c>
      <c r="PQ6" s="130"/>
      <c r="PS6" s="43">
        <v>0</v>
      </c>
      <c r="PU6" s="43">
        <v>0</v>
      </c>
      <c r="PW6" s="49">
        <f>SUM(PM6:PU6)</f>
        <v>61009611.920000002</v>
      </c>
      <c r="PX6" s="68"/>
      <c r="PY6" s="51" t="s">
        <v>146</v>
      </c>
      <c r="PZ6" s="43">
        <v>13429768.399999997</v>
      </c>
      <c r="QA6" s="52"/>
      <c r="QB6" s="43">
        <v>11699027.180000003</v>
      </c>
      <c r="QD6" s="43">
        <v>2620396.6599999997</v>
      </c>
      <c r="QF6" s="43">
        <v>0</v>
      </c>
      <c r="QH6" s="43">
        <v>0</v>
      </c>
      <c r="QJ6" s="49">
        <f>SUM(PZ6:QH6)</f>
        <v>27749192.239999998</v>
      </c>
      <c r="QK6" s="68"/>
      <c r="QL6" s="51" t="s">
        <v>146</v>
      </c>
      <c r="QM6" s="43">
        <v>7870432.9800000004</v>
      </c>
      <c r="QN6" s="52"/>
      <c r="QO6" s="43">
        <v>7116944.1699999999</v>
      </c>
      <c r="QQ6" s="43">
        <v>1661992.27</v>
      </c>
      <c r="QS6" s="43">
        <v>0</v>
      </c>
      <c r="QU6" s="43">
        <v>0</v>
      </c>
      <c r="QW6" s="49">
        <f>SUM(QM6:QU6)</f>
        <v>16649369.42</v>
      </c>
      <c r="QX6" s="68"/>
      <c r="QY6" s="51" t="s">
        <v>146</v>
      </c>
      <c r="QZ6" s="43">
        <v>3450339.8899999997</v>
      </c>
      <c r="RA6" s="52"/>
      <c r="RB6" s="43">
        <v>3291678.4299999997</v>
      </c>
      <c r="RD6" s="43">
        <v>777625.31</v>
      </c>
      <c r="RF6" s="43">
        <v>0</v>
      </c>
      <c r="RH6" s="43">
        <v>0</v>
      </c>
      <c r="RJ6" s="49">
        <f>SUM(QZ6:RH6)</f>
        <v>7519643.629999999</v>
      </c>
      <c r="RK6" s="68"/>
      <c r="RL6" s="51" t="s">
        <v>146</v>
      </c>
      <c r="RM6" s="43">
        <v>30887240.030000001</v>
      </c>
      <c r="RN6" s="52"/>
      <c r="RO6" s="43">
        <v>13876012.639999999</v>
      </c>
      <c r="RQ6" s="43">
        <v>3244239.58</v>
      </c>
      <c r="RS6" s="43">
        <v>0</v>
      </c>
      <c r="RU6" s="43">
        <v>0</v>
      </c>
      <c r="RW6" s="49">
        <f>SUM(RM6:RU6)</f>
        <v>48007492.25</v>
      </c>
      <c r="RX6" s="68"/>
      <c r="RY6" s="51" t="s">
        <v>146</v>
      </c>
      <c r="RZ6" s="43">
        <v>22060310.809999995</v>
      </c>
      <c r="SA6" s="52"/>
      <c r="SB6" s="43">
        <v>9767962.2999999989</v>
      </c>
      <c r="SD6" s="43">
        <v>2361348.4699999997</v>
      </c>
      <c r="SF6" s="43">
        <v>0</v>
      </c>
      <c r="SH6" s="43">
        <v>0</v>
      </c>
      <c r="SJ6" s="49">
        <f>SUM(RZ6:SH6)</f>
        <v>34189621.579999991</v>
      </c>
      <c r="SK6" s="68"/>
      <c r="SL6" s="51" t="s">
        <v>146</v>
      </c>
      <c r="SM6" s="43">
        <v>12189521.18</v>
      </c>
      <c r="SN6" s="52"/>
      <c r="SO6" s="43">
        <v>5988816.419999999</v>
      </c>
      <c r="SQ6" s="43">
        <v>1672874.75</v>
      </c>
      <c r="SS6" s="43">
        <v>0</v>
      </c>
      <c r="SU6" s="43">
        <v>0</v>
      </c>
      <c r="SW6" s="49">
        <f>SUM(SM6:SU6)</f>
        <v>19851212.349999998</v>
      </c>
      <c r="SX6" s="68"/>
      <c r="SY6" s="51" t="s">
        <v>146</v>
      </c>
      <c r="SZ6" s="43">
        <v>3798545.2799999993</v>
      </c>
      <c r="TA6" s="52"/>
      <c r="TB6" s="43">
        <v>2914835.5599999996</v>
      </c>
      <c r="TD6" s="43">
        <v>991803.67999999993</v>
      </c>
      <c r="TF6" s="43">
        <v>0</v>
      </c>
      <c r="TH6" s="43">
        <v>0</v>
      </c>
      <c r="TJ6" s="43">
        <v>7705184.5199999986</v>
      </c>
      <c r="TK6" s="68"/>
      <c r="TL6" s="51" t="s">
        <v>146</v>
      </c>
      <c r="TM6" s="43">
        <v>67832110.270000011</v>
      </c>
      <c r="TN6" s="52"/>
      <c r="TO6" s="43">
        <v>11409728.350000001</v>
      </c>
      <c r="TQ6" s="43">
        <v>3453928.9799999991</v>
      </c>
      <c r="TS6" s="43">
        <v>0</v>
      </c>
      <c r="TU6" s="43">
        <v>0</v>
      </c>
      <c r="TW6" s="43">
        <f>SUM(TM6:TU6)</f>
        <v>82695767.600000009</v>
      </c>
      <c r="TX6" s="68"/>
      <c r="TY6" s="51" t="s">
        <v>146</v>
      </c>
      <c r="TZ6" s="43">
        <v>46262686.529999994</v>
      </c>
      <c r="UA6" s="52"/>
      <c r="UB6" s="43">
        <v>8283751.7200000025</v>
      </c>
      <c r="UD6" s="43">
        <v>2565262.14</v>
      </c>
      <c r="UF6" s="43">
        <v>0</v>
      </c>
      <c r="UH6" s="43">
        <v>0</v>
      </c>
      <c r="UJ6" s="43">
        <f>SUM(TZ6:UH6)</f>
        <v>57111700.390000001</v>
      </c>
      <c r="UK6" s="68"/>
      <c r="UL6" s="68" t="s">
        <v>146</v>
      </c>
      <c r="UM6" s="43">
        <v>9367546.620000001</v>
      </c>
      <c r="UN6" s="52"/>
      <c r="UO6" s="43">
        <v>5877567.4499999993</v>
      </c>
      <c r="UQ6" s="43">
        <v>1645198.04</v>
      </c>
      <c r="US6" s="43">
        <v>0</v>
      </c>
      <c r="UU6" s="43">
        <v>0</v>
      </c>
      <c r="UW6" s="43">
        <v>16890312.109999999</v>
      </c>
      <c r="UX6" s="68"/>
      <c r="UY6" s="68" t="s">
        <v>146</v>
      </c>
      <c r="UZ6" s="43">
        <f>6366.25807*1000</f>
        <v>6366258.0700000003</v>
      </c>
      <c r="VA6" s="52"/>
      <c r="VB6" s="43">
        <f>2820.8894*1000</f>
        <v>2820889.4</v>
      </c>
      <c r="VD6" s="43">
        <f>817.62112*1000</f>
        <v>817621.12</v>
      </c>
      <c r="VF6" s="43">
        <f>14.4*1000</f>
        <v>14400</v>
      </c>
      <c r="VH6" s="43">
        <v>0</v>
      </c>
      <c r="VJ6" s="43">
        <f>10019.16859*1000</f>
        <v>10019168.59</v>
      </c>
      <c r="VK6" s="68"/>
      <c r="VL6" s="51" t="s">
        <v>146</v>
      </c>
      <c r="VM6" s="43">
        <v>57842872.519999996</v>
      </c>
      <c r="VN6" s="52"/>
      <c r="VO6" s="43">
        <v>16049570.569999998</v>
      </c>
      <c r="VQ6" s="43">
        <v>3699014.2399999993</v>
      </c>
      <c r="VS6" s="43">
        <v>0</v>
      </c>
      <c r="VU6" s="43">
        <v>0</v>
      </c>
      <c r="VW6" s="43">
        <f>SUM(VM6:VU6)</f>
        <v>77591457.329999983</v>
      </c>
      <c r="VX6" s="68"/>
      <c r="VY6" s="51" t="s">
        <v>146</v>
      </c>
      <c r="VZ6" s="43">
        <f>31534.71562*1000</f>
        <v>31534715.619999997</v>
      </c>
      <c r="WA6" s="52"/>
      <c r="WB6" s="43">
        <f>13047.88921*1000</f>
        <v>13047889.209999999</v>
      </c>
      <c r="WD6" s="43">
        <f>(2021.963+1507.542)*1000</f>
        <v>3529505</v>
      </c>
      <c r="WJ6" s="43">
        <f>SUM(VZ6:WH6)</f>
        <v>48112109.829999998</v>
      </c>
      <c r="WK6" s="68"/>
      <c r="WL6" s="68" t="s">
        <v>146</v>
      </c>
      <c r="WM6" s="43">
        <v>16513477.060000004</v>
      </c>
      <c r="WN6" s="52">
        <v>0</v>
      </c>
      <c r="WO6" s="43">
        <v>8644102.6699999999</v>
      </c>
      <c r="WP6" s="43">
        <v>0</v>
      </c>
      <c r="WQ6" s="43">
        <v>2301109.0000000005</v>
      </c>
      <c r="WR6" s="43">
        <v>0</v>
      </c>
      <c r="WS6" s="43">
        <v>0</v>
      </c>
      <c r="WT6" s="43">
        <v>0</v>
      </c>
      <c r="WU6" s="43">
        <v>0</v>
      </c>
      <c r="WW6" s="43">
        <v>27458688.730000004</v>
      </c>
      <c r="WX6" s="43"/>
      <c r="WY6" s="68" t="s">
        <v>146</v>
      </c>
      <c r="WZ6" s="43">
        <f>3619.48825*1000</f>
        <v>3619488.25</v>
      </c>
      <c r="XA6" s="52"/>
      <c r="XB6" s="43">
        <f>4043.02909*1000</f>
        <v>4043029.09</v>
      </c>
      <c r="XD6" s="43">
        <f>1107.28562*1000</f>
        <v>1107285.6200000001</v>
      </c>
      <c r="XF6" s="43">
        <v>0</v>
      </c>
      <c r="XH6" s="43">
        <v>0</v>
      </c>
      <c r="XJ6" s="43">
        <f>8769.80296*1000</f>
        <v>8769802.9600000009</v>
      </c>
      <c r="XK6" s="43"/>
      <c r="XL6" s="68" t="s">
        <v>146</v>
      </c>
      <c r="XM6" s="43">
        <v>53359520.377709188</v>
      </c>
      <c r="XN6" s="52"/>
      <c r="XO6" s="43">
        <v>18219395.219999999</v>
      </c>
      <c r="XQ6" s="43">
        <v>5667173.4000000004</v>
      </c>
      <c r="XS6" s="43">
        <v>0</v>
      </c>
      <c r="XU6" s="43">
        <v>0</v>
      </c>
      <c r="XW6" s="43">
        <f>SUM(XM6:XU6)</f>
        <v>77246088.997709185</v>
      </c>
      <c r="XX6" s="43"/>
      <c r="XY6" s="51" t="s">
        <v>146</v>
      </c>
      <c r="XZ6" s="43">
        <f>28797.55136*1000</f>
        <v>28797551.360000003</v>
      </c>
      <c r="YA6" s="52"/>
      <c r="YB6" s="43">
        <f>13061.7063*1000</f>
        <v>13061706.300000001</v>
      </c>
      <c r="YD6" s="43">
        <f>4511.795*1000</f>
        <v>4511795</v>
      </c>
      <c r="YJ6" s="43">
        <f>46371.05266*1000</f>
        <v>46371052.660000004</v>
      </c>
    </row>
    <row r="7" spans="1:660">
      <c r="A7" s="51" t="s">
        <v>147</v>
      </c>
      <c r="B7" s="43"/>
      <c r="C7" s="194"/>
      <c r="E7" s="164"/>
      <c r="F7" s="43"/>
      <c r="G7" s="164"/>
      <c r="I7" s="164"/>
      <c r="K7" s="164"/>
      <c r="L7" s="195"/>
      <c r="O7" s="51" t="s">
        <v>147</v>
      </c>
      <c r="P7" s="43"/>
      <c r="Q7" s="194"/>
      <c r="S7" s="164"/>
      <c r="T7" s="43"/>
      <c r="U7" s="164"/>
      <c r="W7" s="164"/>
      <c r="Y7" s="164"/>
      <c r="Z7" s="195"/>
      <c r="AC7" s="51" t="s">
        <v>147</v>
      </c>
      <c r="AD7" s="43"/>
      <c r="AE7" s="194"/>
      <c r="AG7" s="164"/>
      <c r="AH7" s="43"/>
      <c r="AI7" s="164"/>
      <c r="AK7" s="164"/>
      <c r="AM7" s="164"/>
      <c r="AN7" s="195"/>
      <c r="AQ7" s="51" t="s">
        <v>147</v>
      </c>
      <c r="AR7" s="43">
        <v>33076802.286003672</v>
      </c>
      <c r="AS7" s="194"/>
      <c r="AT7" s="43">
        <v>51606.26</v>
      </c>
      <c r="AU7" s="164"/>
      <c r="AV7" s="43">
        <v>0</v>
      </c>
      <c r="AW7" s="164"/>
      <c r="AX7" s="43">
        <v>0</v>
      </c>
      <c r="AY7" s="164"/>
      <c r="AZ7" s="43">
        <v>0</v>
      </c>
      <c r="BA7" s="164"/>
      <c r="BB7" s="195">
        <f>SUM(AR7:AZ7)</f>
        <v>33128408.546003673</v>
      </c>
      <c r="BE7" s="51" t="s">
        <v>147</v>
      </c>
      <c r="BF7" s="43">
        <v>152545044.57927001</v>
      </c>
      <c r="BG7" s="194"/>
      <c r="BH7" s="43">
        <v>394331.99</v>
      </c>
      <c r="BI7" s="164"/>
      <c r="BJ7" s="43">
        <v>0</v>
      </c>
      <c r="BK7" s="164"/>
      <c r="BL7" s="43">
        <v>0</v>
      </c>
      <c r="BM7" s="164"/>
      <c r="BN7" s="43">
        <v>0</v>
      </c>
      <c r="BO7" s="164"/>
      <c r="BP7" s="195">
        <f>SUM(BF7:BN7)</f>
        <v>152939376.56927001</v>
      </c>
      <c r="BS7" s="51" t="s">
        <v>147</v>
      </c>
      <c r="BT7" s="43">
        <v>133011418.20832232</v>
      </c>
      <c r="BU7" s="194"/>
      <c r="BV7" s="43">
        <v>363260.7</v>
      </c>
      <c r="BW7" s="164"/>
      <c r="BX7" s="43">
        <v>0</v>
      </c>
      <c r="BY7" s="164"/>
      <c r="BZ7" s="43">
        <v>0</v>
      </c>
      <c r="CA7" s="164"/>
      <c r="CB7" s="43">
        <v>0</v>
      </c>
      <c r="CC7" s="164"/>
      <c r="CD7" s="195">
        <f>SUM(BT7:CB7)</f>
        <v>133374678.90832232</v>
      </c>
      <c r="CG7" s="51" t="s">
        <v>147</v>
      </c>
      <c r="CH7" s="43">
        <v>89327029.579999968</v>
      </c>
      <c r="CI7" s="194"/>
      <c r="CJ7" s="43">
        <v>100976.88</v>
      </c>
      <c r="CK7" s="164"/>
      <c r="CL7" s="43">
        <v>0</v>
      </c>
      <c r="CM7" s="164"/>
      <c r="CN7" s="43">
        <v>0</v>
      </c>
      <c r="CO7" s="164"/>
      <c r="CP7" s="43">
        <v>0</v>
      </c>
      <c r="CQ7" s="164"/>
      <c r="CR7" s="195">
        <f>SUM(CH7:CP7)</f>
        <v>89428006.459999964</v>
      </c>
      <c r="CU7" s="51" t="s">
        <v>147</v>
      </c>
      <c r="CV7" s="43">
        <v>60297185.680958994</v>
      </c>
      <c r="CW7" s="194"/>
      <c r="CX7" s="43">
        <v>30294.42</v>
      </c>
      <c r="CY7" s="164"/>
      <c r="CZ7" s="43">
        <v>0</v>
      </c>
      <c r="DA7" s="164"/>
      <c r="DB7" s="43">
        <v>0</v>
      </c>
      <c r="DC7" s="164"/>
      <c r="DD7" s="43">
        <v>0</v>
      </c>
      <c r="DE7" s="164"/>
      <c r="DF7" s="195">
        <f>SUM(CV7:DD7)</f>
        <v>60327480.100958996</v>
      </c>
      <c r="DI7" s="51" t="s">
        <v>147</v>
      </c>
      <c r="DJ7" s="164">
        <v>159728472.32547191</v>
      </c>
      <c r="DK7" s="194"/>
      <c r="DL7" s="164">
        <v>148334.39999999999</v>
      </c>
      <c r="DM7" s="164"/>
      <c r="DN7" s="164">
        <v>0</v>
      </c>
      <c r="DO7" s="164"/>
      <c r="DP7" s="164">
        <v>0</v>
      </c>
      <c r="DQ7" s="164"/>
      <c r="DR7" s="164">
        <v>0</v>
      </c>
      <c r="DS7" s="164"/>
      <c r="DT7" s="195">
        <f>SUM(DJ7:DR7)</f>
        <v>159876806.72547191</v>
      </c>
      <c r="DW7" s="51" t="s">
        <v>147</v>
      </c>
      <c r="DX7" s="43">
        <v>123071184.43569747</v>
      </c>
      <c r="DY7" s="52"/>
      <c r="DZ7" s="43">
        <v>112031.91</v>
      </c>
      <c r="EB7" s="43">
        <v>0</v>
      </c>
      <c r="ED7" s="43">
        <v>0</v>
      </c>
      <c r="EF7" s="43">
        <v>0</v>
      </c>
      <c r="EH7" s="149">
        <f>SUM(DX7:EF7)</f>
        <v>123183216.34569746</v>
      </c>
      <c r="EK7" s="51" t="s">
        <v>147</v>
      </c>
      <c r="EL7" s="43">
        <v>74794043.200000003</v>
      </c>
      <c r="EM7" s="52"/>
      <c r="EN7" s="43">
        <v>94202.81</v>
      </c>
      <c r="EP7" s="43">
        <v>0</v>
      </c>
      <c r="ER7" s="43">
        <v>0</v>
      </c>
      <c r="ET7" s="43">
        <v>0</v>
      </c>
      <c r="EV7" s="149">
        <f>SUM(EL7:ET7)</f>
        <v>74888246.010000005</v>
      </c>
      <c r="EY7" s="51" t="s">
        <v>147</v>
      </c>
      <c r="EZ7" s="43">
        <v>51477952.374033347</v>
      </c>
      <c r="FA7" s="52"/>
      <c r="FB7" s="43">
        <v>43248.6</v>
      </c>
      <c r="FD7" s="43">
        <v>0</v>
      </c>
      <c r="FF7" s="43">
        <v>0</v>
      </c>
      <c r="FH7" s="43">
        <v>0</v>
      </c>
      <c r="FJ7" s="149">
        <f>SUM(EZ7:FH7)</f>
        <v>51521200.974033348</v>
      </c>
      <c r="FM7" s="51" t="s">
        <v>147</v>
      </c>
      <c r="FN7" s="43">
        <v>30784549.959999997</v>
      </c>
      <c r="FO7" s="52"/>
      <c r="FP7" s="43">
        <v>195566.37</v>
      </c>
      <c r="FR7" s="43">
        <v>0</v>
      </c>
      <c r="FT7" s="43">
        <v>0</v>
      </c>
      <c r="FV7" s="43">
        <v>0</v>
      </c>
      <c r="FX7" s="149">
        <f>SUM(FN7:FV7)</f>
        <v>30980116.329999998</v>
      </c>
      <c r="GA7" s="51" t="s">
        <v>147</v>
      </c>
      <c r="GB7" s="43">
        <v>18343703.06560969</v>
      </c>
      <c r="GC7" s="52"/>
      <c r="GD7" s="43">
        <v>72947.03</v>
      </c>
      <c r="GF7" s="43">
        <v>0</v>
      </c>
      <c r="GH7" s="43">
        <v>0</v>
      </c>
      <c r="GJ7" s="43">
        <v>0</v>
      </c>
      <c r="GL7" s="149">
        <f>SUM(GB7:GJ7)</f>
        <v>18416650.095609691</v>
      </c>
      <c r="GO7" s="51" t="s">
        <v>147</v>
      </c>
      <c r="GP7" s="43">
        <v>6008095.3899999997</v>
      </c>
      <c r="GQ7" s="52"/>
      <c r="GR7" s="43">
        <v>30130.4483</v>
      </c>
      <c r="GT7" s="43">
        <v>0</v>
      </c>
      <c r="GV7" s="43">
        <v>0</v>
      </c>
      <c r="GX7" s="43">
        <v>0</v>
      </c>
      <c r="GZ7" s="149">
        <f>SUM(GP7:GX7)</f>
        <v>6038225.8382999999</v>
      </c>
      <c r="HC7" s="51" t="s">
        <v>147</v>
      </c>
      <c r="HD7" s="43">
        <v>10435.66</v>
      </c>
      <c r="HE7" s="52"/>
      <c r="HF7" s="43">
        <v>11430.45</v>
      </c>
      <c r="HH7" s="43">
        <v>0</v>
      </c>
      <c r="HJ7" s="43">
        <v>0</v>
      </c>
      <c r="HL7" s="43">
        <v>0</v>
      </c>
      <c r="HN7" s="149">
        <f>SUM(HD7:HL7)</f>
        <v>21866.11</v>
      </c>
      <c r="HQ7" s="51" t="s">
        <v>147</v>
      </c>
      <c r="HR7" s="43">
        <v>1040638.62</v>
      </c>
      <c r="HS7" s="52"/>
      <c r="HT7" s="43">
        <v>1240856.4099999999</v>
      </c>
      <c r="HV7" s="43">
        <v>0</v>
      </c>
      <c r="HX7" s="43">
        <v>0</v>
      </c>
      <c r="HZ7" s="43">
        <v>0</v>
      </c>
      <c r="IB7" s="149">
        <f>SUM(HR7:HZ7)</f>
        <v>2281495.0299999998</v>
      </c>
      <c r="IE7" s="51" t="s">
        <v>147</v>
      </c>
      <c r="IF7" s="43">
        <v>930489.69</v>
      </c>
      <c r="IG7" s="52"/>
      <c r="IH7" s="43">
        <v>1216656.4099999999</v>
      </c>
      <c r="IJ7" s="43">
        <v>0</v>
      </c>
      <c r="IL7" s="43">
        <v>0</v>
      </c>
      <c r="IN7" s="43">
        <v>0</v>
      </c>
      <c r="IP7" s="149">
        <f>SUM(IF7:IN7)</f>
        <v>2147146.0999999996</v>
      </c>
      <c r="IS7" s="51" t="s">
        <v>147</v>
      </c>
      <c r="IT7" s="43">
        <v>884981.02</v>
      </c>
      <c r="IU7" s="52"/>
      <c r="IV7" s="43">
        <v>639077.37</v>
      </c>
      <c r="IX7" s="43">
        <v>0</v>
      </c>
      <c r="IZ7" s="43">
        <v>0</v>
      </c>
      <c r="JB7" s="43">
        <v>0</v>
      </c>
      <c r="JD7" s="149">
        <f>SUM(IT7:JB7)</f>
        <v>1524058.3900000001</v>
      </c>
      <c r="JG7" s="51" t="s">
        <v>147</v>
      </c>
      <c r="JH7" s="43">
        <v>854178.02</v>
      </c>
      <c r="JI7" s="52"/>
      <c r="JJ7" s="43">
        <v>362207.85</v>
      </c>
      <c r="JL7" s="43">
        <v>0</v>
      </c>
      <c r="JN7" s="43">
        <v>0</v>
      </c>
      <c r="JP7" s="43">
        <v>0</v>
      </c>
      <c r="JR7" s="149">
        <f>SUM(JH7:JP7)</f>
        <v>1216385.8700000001</v>
      </c>
      <c r="JU7" s="51" t="s">
        <v>147</v>
      </c>
      <c r="JV7" s="43">
        <v>184297.56</v>
      </c>
      <c r="JW7" s="52"/>
      <c r="JX7" s="43">
        <v>1674854.16</v>
      </c>
      <c r="JZ7" s="43">
        <v>0</v>
      </c>
      <c r="KB7" s="43">
        <v>0</v>
      </c>
      <c r="KD7" s="43">
        <v>0</v>
      </c>
      <c r="KF7" s="149">
        <f>SUM(JV7:KD7)</f>
        <v>1859151.72</v>
      </c>
      <c r="KI7" s="51" t="s">
        <v>147</v>
      </c>
      <c r="KJ7" s="43">
        <v>220689.84</v>
      </c>
      <c r="KK7" s="52"/>
      <c r="KL7" s="43">
        <v>1578424.75</v>
      </c>
      <c r="KN7" s="43">
        <v>0</v>
      </c>
      <c r="KP7" s="43">
        <v>0</v>
      </c>
      <c r="KR7" s="43">
        <v>0</v>
      </c>
      <c r="KT7" s="149">
        <f>SUM(KJ7:KR7)</f>
        <v>1799114.59</v>
      </c>
      <c r="KW7" s="51" t="s">
        <v>147</v>
      </c>
      <c r="KX7" s="43">
        <v>204200.69</v>
      </c>
      <c r="KY7" s="52"/>
      <c r="KZ7" s="43">
        <v>1270532.05</v>
      </c>
      <c r="LB7" s="43">
        <v>0</v>
      </c>
      <c r="LD7" s="43">
        <v>0</v>
      </c>
      <c r="LF7" s="43">
        <v>0</v>
      </c>
      <c r="LH7" s="149">
        <f>SUM(KX7:LF7)</f>
        <v>1474732.74</v>
      </c>
      <c r="LJ7" s="51" t="s">
        <v>147</v>
      </c>
      <c r="LK7" s="43">
        <v>141395.35999999999</v>
      </c>
      <c r="LL7" s="52"/>
      <c r="LM7" s="43">
        <v>797815.99</v>
      </c>
      <c r="LO7" s="156">
        <v>0</v>
      </c>
      <c r="LQ7" s="43">
        <v>0</v>
      </c>
      <c r="LS7" s="43">
        <v>0</v>
      </c>
      <c r="LU7" s="149">
        <f>SUM(LK7:LS7)</f>
        <v>939211.35</v>
      </c>
      <c r="LV7" s="49"/>
      <c r="LW7" s="51" t="s">
        <v>147</v>
      </c>
      <c r="LX7" s="43">
        <v>434411.77</v>
      </c>
      <c r="LY7" s="52"/>
      <c r="LZ7" s="43">
        <v>1688877.4899999998</v>
      </c>
      <c r="MB7" s="43">
        <v>0</v>
      </c>
      <c r="MD7" s="43">
        <v>0</v>
      </c>
      <c r="MF7" s="43">
        <v>0</v>
      </c>
      <c r="MH7" s="149">
        <f>SUM(LX7:MF7)</f>
        <v>2123289.2599999998</v>
      </c>
      <c r="MK7" s="51" t="s">
        <v>147</v>
      </c>
      <c r="ML7" s="43">
        <v>333703.44</v>
      </c>
      <c r="MM7" s="52"/>
      <c r="MN7" s="43">
        <v>1518105.77</v>
      </c>
      <c r="MP7" s="43">
        <v>0</v>
      </c>
      <c r="MR7" s="43">
        <v>0</v>
      </c>
      <c r="MT7" s="43">
        <v>0</v>
      </c>
      <c r="MV7" s="149">
        <f>SUM(ML7:MT7)</f>
        <v>1851809.21</v>
      </c>
      <c r="MY7" s="51" t="s">
        <v>147</v>
      </c>
      <c r="MZ7" s="43">
        <v>196371.68</v>
      </c>
      <c r="NA7" s="52"/>
      <c r="NB7" s="43">
        <v>1078436.28</v>
      </c>
      <c r="ND7" s="43">
        <v>0</v>
      </c>
      <c r="NF7" s="43">
        <v>0</v>
      </c>
      <c r="NH7" s="43">
        <v>0</v>
      </c>
      <c r="NJ7" s="149">
        <f>SUM(MZ7:NH7)</f>
        <v>1274807.96</v>
      </c>
      <c r="NL7" s="51" t="s">
        <v>147</v>
      </c>
      <c r="NM7" s="43">
        <v>120947.03</v>
      </c>
      <c r="NN7" s="52"/>
      <c r="NO7" s="43">
        <v>597276.57999999996</v>
      </c>
      <c r="NQ7" s="156">
        <v>0</v>
      </c>
      <c r="NS7" s="43">
        <v>0</v>
      </c>
      <c r="NU7" s="43">
        <v>0</v>
      </c>
      <c r="NW7" s="149">
        <f>SUM(NM7:NU7)</f>
        <v>718223.61</v>
      </c>
      <c r="NY7" s="51" t="s">
        <v>147</v>
      </c>
      <c r="NZ7" s="43">
        <v>616870.92000000004</v>
      </c>
      <c r="OA7" s="52">
        <v>0</v>
      </c>
      <c r="OB7" s="43">
        <v>3680385.02</v>
      </c>
      <c r="OD7" s="43">
        <v>0</v>
      </c>
      <c r="OF7" s="43">
        <v>0</v>
      </c>
      <c r="OH7" s="43">
        <v>0</v>
      </c>
      <c r="OJ7" s="149">
        <f>SUM(NZ7:OH7)</f>
        <v>4297255.9400000004</v>
      </c>
      <c r="OK7" s="68"/>
      <c r="OL7" s="51" t="s">
        <v>147</v>
      </c>
      <c r="OM7" s="43">
        <v>422473.72</v>
      </c>
      <c r="ON7" s="52"/>
      <c r="OO7" s="43">
        <v>2828107.94</v>
      </c>
      <c r="OQ7" s="130">
        <v>0</v>
      </c>
      <c r="OS7" s="43">
        <v>0</v>
      </c>
      <c r="OU7" s="43">
        <v>0</v>
      </c>
      <c r="OW7" s="49">
        <f>SUM(OM7:OU7)</f>
        <v>3250581.66</v>
      </c>
      <c r="OX7" s="68"/>
      <c r="OY7" s="51" t="s">
        <v>147</v>
      </c>
      <c r="OZ7" s="43">
        <v>342951.99</v>
      </c>
      <c r="PA7" s="52"/>
      <c r="PB7" s="43">
        <v>2286923.85</v>
      </c>
      <c r="PD7" s="130"/>
      <c r="PF7" s="43">
        <v>0</v>
      </c>
      <c r="PH7" s="43">
        <v>0</v>
      </c>
      <c r="PJ7" s="49">
        <f>SUM(OZ7:PH7)</f>
        <v>2629875.84</v>
      </c>
      <c r="PK7" s="68"/>
      <c r="PL7" s="51" t="s">
        <v>147</v>
      </c>
      <c r="PM7" s="43">
        <v>253109.55</v>
      </c>
      <c r="PN7" s="52"/>
      <c r="PO7" s="43">
        <v>1673764.44</v>
      </c>
      <c r="PQ7" s="130"/>
      <c r="PS7" s="43">
        <v>0</v>
      </c>
      <c r="PU7" s="43">
        <v>0</v>
      </c>
      <c r="PW7" s="49">
        <f>SUM(PM7:PU7)</f>
        <v>1926873.99</v>
      </c>
      <c r="PX7" s="68"/>
      <c r="PY7" s="51" t="s">
        <v>147</v>
      </c>
      <c r="PZ7" s="43">
        <v>0</v>
      </c>
      <c r="QA7" s="52"/>
      <c r="QB7" s="43">
        <v>1006728.94</v>
      </c>
      <c r="QD7" s="43">
        <v>149523.1</v>
      </c>
      <c r="QF7" s="43">
        <v>0</v>
      </c>
      <c r="QH7" s="43">
        <v>0</v>
      </c>
      <c r="QJ7" s="49">
        <f>SUM(PZ7:QH7)</f>
        <v>1156252.04</v>
      </c>
      <c r="QK7" s="68"/>
      <c r="QL7" s="51" t="s">
        <v>147</v>
      </c>
      <c r="QM7" s="43">
        <v>0</v>
      </c>
      <c r="QN7" s="52"/>
      <c r="QO7" s="43">
        <v>620357.6</v>
      </c>
      <c r="QQ7" s="43">
        <v>120633.32</v>
      </c>
      <c r="QS7" s="43">
        <v>0</v>
      </c>
      <c r="QU7" s="43">
        <v>0</v>
      </c>
      <c r="QW7" s="49">
        <f>SUM(QM7:QU7)</f>
        <v>740990.91999999993</v>
      </c>
      <c r="QX7" s="68"/>
      <c r="QY7" s="51" t="s">
        <v>147</v>
      </c>
      <c r="QZ7" s="43">
        <v>0</v>
      </c>
      <c r="RA7" s="52"/>
      <c r="RB7" s="43">
        <v>176658</v>
      </c>
      <c r="RD7" s="43">
        <v>64067.99</v>
      </c>
      <c r="RF7" s="43">
        <v>0</v>
      </c>
      <c r="RH7" s="43">
        <v>0</v>
      </c>
      <c r="RJ7" s="49">
        <f>SUM(QZ7:RH7)</f>
        <v>240725.99</v>
      </c>
      <c r="RK7" s="68"/>
      <c r="RL7" s="51" t="s">
        <v>147</v>
      </c>
      <c r="RM7" s="43">
        <v>0</v>
      </c>
      <c r="RN7" s="52"/>
      <c r="RO7" s="43">
        <v>1123857.8800000001</v>
      </c>
      <c r="RQ7" s="43">
        <v>301786.23999999999</v>
      </c>
      <c r="RS7" s="43">
        <v>0</v>
      </c>
      <c r="RU7" s="43">
        <v>0</v>
      </c>
      <c r="RW7" s="49">
        <f>SUM(RM7:RU7)</f>
        <v>1425644.12</v>
      </c>
      <c r="RX7" s="68"/>
      <c r="RY7" s="51" t="s">
        <v>147</v>
      </c>
      <c r="RZ7" s="43"/>
      <c r="SA7" s="52"/>
      <c r="SB7" s="43">
        <v>848645.64</v>
      </c>
      <c r="SD7" s="43">
        <v>197042.68</v>
      </c>
      <c r="SF7" s="43">
        <v>0</v>
      </c>
      <c r="SH7" s="43">
        <v>0</v>
      </c>
      <c r="SJ7" s="49">
        <f>SUM(RZ7:SH7)</f>
        <v>1045688.3200000001</v>
      </c>
      <c r="SK7" s="68"/>
      <c r="SL7" s="51" t="s">
        <v>147</v>
      </c>
      <c r="SM7" s="43">
        <v>0</v>
      </c>
      <c r="SN7" s="52"/>
      <c r="SO7" s="43">
        <v>606057.11</v>
      </c>
      <c r="SQ7" s="43">
        <v>55706</v>
      </c>
      <c r="SS7" s="43">
        <v>0</v>
      </c>
      <c r="SU7" s="43">
        <v>0</v>
      </c>
      <c r="SW7" s="49">
        <f>SUM(SM7:SU7)</f>
        <v>661763.11</v>
      </c>
      <c r="SX7" s="68"/>
      <c r="SY7" s="51" t="s">
        <v>147</v>
      </c>
      <c r="SZ7" s="43">
        <v>0</v>
      </c>
      <c r="TA7" s="52"/>
      <c r="TB7" s="43">
        <v>147912.93</v>
      </c>
      <c r="TD7" s="43">
        <v>37912.29</v>
      </c>
      <c r="TF7" s="43">
        <v>0</v>
      </c>
      <c r="TH7" s="43">
        <v>0</v>
      </c>
      <c r="TJ7" s="43">
        <v>185825.22</v>
      </c>
      <c r="TK7" s="68"/>
      <c r="TL7" s="51" t="s">
        <v>147</v>
      </c>
      <c r="TM7" s="43">
        <v>44000</v>
      </c>
      <c r="TN7" s="52"/>
      <c r="TO7" s="43">
        <v>701488.16999999993</v>
      </c>
      <c r="TQ7" s="43">
        <v>157161.47</v>
      </c>
      <c r="TS7" s="43">
        <v>0</v>
      </c>
      <c r="TU7" s="43">
        <v>0</v>
      </c>
      <c r="TW7" s="43">
        <f>SUM(TM7:TU7)</f>
        <v>902649.6399999999</v>
      </c>
      <c r="TX7" s="68"/>
      <c r="TY7" s="51" t="s">
        <v>147</v>
      </c>
      <c r="TZ7" s="43">
        <v>44000</v>
      </c>
      <c r="UA7" s="52"/>
      <c r="UB7" s="43">
        <v>673236.27</v>
      </c>
      <c r="UD7" s="43">
        <v>157141.67000000001</v>
      </c>
      <c r="UF7" s="43">
        <v>0</v>
      </c>
      <c r="UH7" s="43">
        <v>0</v>
      </c>
      <c r="UJ7" s="43">
        <f>SUM(TZ7:UH7)</f>
        <v>874377.94000000006</v>
      </c>
      <c r="UK7" s="68"/>
      <c r="UL7" s="68" t="s">
        <v>147</v>
      </c>
      <c r="UM7" s="43">
        <v>44000</v>
      </c>
      <c r="UN7" s="52"/>
      <c r="UO7" s="43">
        <v>49554.11</v>
      </c>
      <c r="UQ7" s="43">
        <v>65885.759999999995</v>
      </c>
      <c r="US7" s="43">
        <v>0</v>
      </c>
      <c r="UU7" s="43">
        <v>0</v>
      </c>
      <c r="UW7" s="43">
        <v>159439.87</v>
      </c>
      <c r="UX7" s="68"/>
      <c r="UY7" s="68" t="s">
        <v>147</v>
      </c>
      <c r="UZ7" s="43">
        <f>46.18*1000</f>
        <v>46180</v>
      </c>
      <c r="VA7" s="52"/>
      <c r="VB7" s="43">
        <v>0</v>
      </c>
      <c r="VD7" s="43">
        <f>11.3677*1000</f>
        <v>11367.699999999999</v>
      </c>
      <c r="VF7" s="43">
        <v>0</v>
      </c>
      <c r="VH7" s="43">
        <v>0</v>
      </c>
      <c r="VJ7" s="43">
        <f>57.5477*1000</f>
        <v>57547.7</v>
      </c>
      <c r="VK7" s="68"/>
      <c r="VL7" s="51" t="s">
        <v>147</v>
      </c>
      <c r="VM7" s="43">
        <v>0</v>
      </c>
      <c r="VN7" s="52"/>
      <c r="VO7" s="43">
        <v>0</v>
      </c>
      <c r="VQ7" s="43">
        <v>459758.24</v>
      </c>
      <c r="VS7" s="43">
        <v>0</v>
      </c>
      <c r="VU7" s="43">
        <v>0</v>
      </c>
      <c r="VW7" s="43">
        <f>SUM(VM7:VU7)</f>
        <v>459758.24</v>
      </c>
      <c r="VX7" s="68"/>
      <c r="VY7" s="51" t="s">
        <v>147</v>
      </c>
      <c r="VZ7" s="43"/>
      <c r="WA7" s="52"/>
      <c r="WJ7" s="43">
        <f>SUM(VZ7:WH7)</f>
        <v>0</v>
      </c>
      <c r="WK7" s="68"/>
      <c r="WL7" s="68" t="s">
        <v>147</v>
      </c>
      <c r="WM7" s="43">
        <v>0</v>
      </c>
      <c r="WN7" s="52">
        <v>0</v>
      </c>
      <c r="WO7" s="43">
        <v>0</v>
      </c>
      <c r="WP7" s="43">
        <v>0</v>
      </c>
      <c r="WQ7" s="43">
        <v>0</v>
      </c>
      <c r="WR7" s="43">
        <v>0</v>
      </c>
      <c r="WS7" s="43">
        <v>0</v>
      </c>
      <c r="WT7" s="43">
        <v>0</v>
      </c>
      <c r="WU7" s="43">
        <v>0</v>
      </c>
      <c r="WW7" s="43">
        <v>0</v>
      </c>
      <c r="WX7" s="43"/>
      <c r="WY7" s="68" t="s">
        <v>147</v>
      </c>
      <c r="WZ7" s="43">
        <v>0</v>
      </c>
      <c r="XA7" s="52"/>
      <c r="XB7" s="43">
        <v>0</v>
      </c>
      <c r="XD7" s="43">
        <f>65.57661*1000</f>
        <v>65576.61</v>
      </c>
      <c r="XF7" s="43">
        <v>0</v>
      </c>
      <c r="XH7" s="43">
        <v>0</v>
      </c>
      <c r="XJ7" s="43">
        <f>65.57661*1000</f>
        <v>65576.61</v>
      </c>
      <c r="XK7" s="43"/>
      <c r="XL7" s="68" t="s">
        <v>147</v>
      </c>
      <c r="XM7" s="43">
        <v>0</v>
      </c>
      <c r="XN7" s="52"/>
      <c r="XO7" s="43">
        <v>0</v>
      </c>
      <c r="XQ7" s="43">
        <v>129738.63</v>
      </c>
      <c r="XS7" s="43">
        <v>0</v>
      </c>
      <c r="XU7" s="43">
        <v>0</v>
      </c>
      <c r="XW7" s="43">
        <f>SUM(XM7:XU7)</f>
        <v>129738.63</v>
      </c>
      <c r="XX7" s="43"/>
      <c r="XY7" s="51" t="s">
        <v>147</v>
      </c>
      <c r="XZ7" s="43"/>
      <c r="YA7" s="52"/>
      <c r="YJ7" s="43">
        <v>0</v>
      </c>
    </row>
    <row r="8" spans="1:660">
      <c r="A8" s="51" t="s">
        <v>148</v>
      </c>
      <c r="B8" s="43"/>
      <c r="C8" s="194"/>
      <c r="E8" s="164"/>
      <c r="F8" s="43"/>
      <c r="G8" s="164"/>
      <c r="I8" s="164"/>
      <c r="K8" s="164"/>
      <c r="L8" s="195"/>
      <c r="O8" s="51" t="s">
        <v>148</v>
      </c>
      <c r="P8" s="43"/>
      <c r="Q8" s="194"/>
      <c r="S8" s="164"/>
      <c r="T8" s="43"/>
      <c r="U8" s="164"/>
      <c r="W8" s="164"/>
      <c r="Y8" s="164"/>
      <c r="Z8" s="195"/>
      <c r="AC8" s="51" t="s">
        <v>148</v>
      </c>
      <c r="AD8" s="43"/>
      <c r="AE8" s="194"/>
      <c r="AG8" s="164"/>
      <c r="AH8" s="43"/>
      <c r="AI8" s="164"/>
      <c r="AK8" s="164"/>
      <c r="AM8" s="164"/>
      <c r="AN8" s="195"/>
      <c r="AQ8" s="51" t="s">
        <v>148</v>
      </c>
      <c r="AR8" s="43">
        <v>126997.8</v>
      </c>
      <c r="AS8" s="194"/>
      <c r="AT8" s="43">
        <v>460484.33</v>
      </c>
      <c r="AU8" s="164"/>
      <c r="AV8" s="43">
        <v>0</v>
      </c>
      <c r="AW8" s="164"/>
      <c r="AX8" s="43">
        <v>386700</v>
      </c>
      <c r="AY8" s="164"/>
      <c r="AZ8" s="43">
        <v>-974182.13</v>
      </c>
      <c r="BA8" s="164"/>
      <c r="BB8" s="195">
        <f>SUM(AR8:AZ8)</f>
        <v>0</v>
      </c>
      <c r="BE8" s="51" t="s">
        <v>148</v>
      </c>
      <c r="BF8" s="43">
        <v>236516.78</v>
      </c>
      <c r="BG8" s="194"/>
      <c r="BH8" s="43">
        <v>1556474.76</v>
      </c>
      <c r="BI8" s="164"/>
      <c r="BJ8" s="43">
        <v>0</v>
      </c>
      <c r="BK8" s="164"/>
      <c r="BL8" s="43">
        <v>1542600</v>
      </c>
      <c r="BM8" s="164"/>
      <c r="BN8" s="43">
        <v>-3335591.5399999996</v>
      </c>
      <c r="BO8" s="164"/>
      <c r="BP8" s="195">
        <f>SUM(BF8:BN8)</f>
        <v>0</v>
      </c>
      <c r="BS8" s="51" t="s">
        <v>148</v>
      </c>
      <c r="BT8" s="43">
        <v>236516.78</v>
      </c>
      <c r="BU8" s="194"/>
      <c r="BV8" s="43">
        <v>1187281.03</v>
      </c>
      <c r="BW8" s="164"/>
      <c r="BX8" s="43">
        <v>0</v>
      </c>
      <c r="BY8" s="164"/>
      <c r="BZ8" s="43">
        <v>1155900</v>
      </c>
      <c r="CA8" s="164"/>
      <c r="CB8" s="43">
        <v>-2579697.8099999996</v>
      </c>
      <c r="CC8" s="164"/>
      <c r="CD8" s="195">
        <f>SUM(BT8:CB8)</f>
        <v>0</v>
      </c>
      <c r="CG8" s="51" t="s">
        <v>148</v>
      </c>
      <c r="CH8" s="43">
        <v>234839.31</v>
      </c>
      <c r="CI8" s="194"/>
      <c r="CJ8" s="43">
        <v>732130.9</v>
      </c>
      <c r="CK8" s="164"/>
      <c r="CL8" s="43">
        <v>0</v>
      </c>
      <c r="CM8" s="164"/>
      <c r="CN8" s="43">
        <v>769200</v>
      </c>
      <c r="CO8" s="164"/>
      <c r="CP8" s="43">
        <v>-1736170.21</v>
      </c>
      <c r="CQ8" s="164"/>
      <c r="CR8" s="195">
        <f>SUM(CH8:CP8)</f>
        <v>0</v>
      </c>
      <c r="CU8" s="51" t="s">
        <v>148</v>
      </c>
      <c r="CV8" s="43">
        <v>228504.14</v>
      </c>
      <c r="CW8" s="194"/>
      <c r="CX8" s="43">
        <v>356135.31</v>
      </c>
      <c r="CY8" s="164"/>
      <c r="CZ8" s="43">
        <v>0</v>
      </c>
      <c r="DA8" s="164"/>
      <c r="DB8" s="43">
        <v>382500</v>
      </c>
      <c r="DC8" s="164"/>
      <c r="DD8" s="43">
        <v>-967139.45000000007</v>
      </c>
      <c r="DE8" s="164"/>
      <c r="DF8" s="195">
        <f>SUM(CV8:DD8)</f>
        <v>0</v>
      </c>
      <c r="DI8" s="51" t="s">
        <v>148</v>
      </c>
      <c r="DJ8" s="164">
        <v>434466.5</v>
      </c>
      <c r="DK8" s="194"/>
      <c r="DL8" s="164">
        <v>1797516.74</v>
      </c>
      <c r="DM8" s="164"/>
      <c r="DN8" s="164">
        <v>0</v>
      </c>
      <c r="DO8" s="164"/>
      <c r="DP8" s="164">
        <v>1530000</v>
      </c>
      <c r="DQ8" s="164"/>
      <c r="DR8" s="164">
        <v>-3761983.24</v>
      </c>
      <c r="DS8" s="164"/>
      <c r="DT8" s="195">
        <f>SUM(DJ8:DR8)</f>
        <v>0</v>
      </c>
      <c r="DW8" s="51" t="s">
        <v>148</v>
      </c>
      <c r="DX8" s="43">
        <v>447626.04</v>
      </c>
      <c r="DY8" s="52"/>
      <c r="DZ8" s="43">
        <v>1408512.67</v>
      </c>
      <c r="EB8" s="43">
        <v>0</v>
      </c>
      <c r="ED8" s="43">
        <v>1147500</v>
      </c>
      <c r="EF8" s="43">
        <v>-3003638.7099999995</v>
      </c>
      <c r="EH8" s="49">
        <f>SUM(DX8:EF8)</f>
        <v>0</v>
      </c>
      <c r="EK8" s="51" t="s">
        <v>148</v>
      </c>
      <c r="EL8" s="43">
        <v>73519.512015999993</v>
      </c>
      <c r="EM8" s="52"/>
      <c r="EN8" s="43">
        <v>581078.39</v>
      </c>
      <c r="EP8" s="43">
        <v>0</v>
      </c>
      <c r="ER8" s="43">
        <v>843893.04</v>
      </c>
      <c r="ET8" s="43">
        <v>-1498490.9420159999</v>
      </c>
      <c r="EV8" s="149">
        <f>SUM(EL8:ET8)</f>
        <v>0</v>
      </c>
      <c r="EY8" s="51" t="s">
        <v>148</v>
      </c>
      <c r="EZ8" s="43">
        <v>0</v>
      </c>
      <c r="FA8" s="52"/>
      <c r="FB8" s="43">
        <v>253033.30000000002</v>
      </c>
      <c r="FD8" s="43">
        <v>0</v>
      </c>
      <c r="FF8" s="43">
        <v>432872.51</v>
      </c>
      <c r="FH8" s="43">
        <v>-685905.80999999994</v>
      </c>
      <c r="FJ8" s="49">
        <f>SUM(EZ8:FH8)</f>
        <v>0</v>
      </c>
      <c r="FM8" s="51" t="s">
        <v>148</v>
      </c>
      <c r="FN8" s="43">
        <v>1279284.78</v>
      </c>
      <c r="FO8" s="52"/>
      <c r="FP8" s="43">
        <v>1800432.23</v>
      </c>
      <c r="FR8" s="43">
        <v>0</v>
      </c>
      <c r="FT8" s="43">
        <v>1814977.96</v>
      </c>
      <c r="FV8" s="43">
        <v>-4894694.97</v>
      </c>
      <c r="FX8" s="149">
        <f>SUM(FN8:FV8)</f>
        <v>0</v>
      </c>
      <c r="GA8" s="51" t="s">
        <v>148</v>
      </c>
      <c r="GB8" s="43">
        <v>1279284.78</v>
      </c>
      <c r="GC8" s="52"/>
      <c r="GD8" s="43">
        <v>1531744.51</v>
      </c>
      <c r="GF8" s="43">
        <v>0</v>
      </c>
      <c r="GH8" s="43">
        <v>1382896.92</v>
      </c>
      <c r="GJ8" s="43">
        <v>-4193926.2099999995</v>
      </c>
      <c r="GL8" s="49">
        <f>SUM(GB8:GJ8)</f>
        <v>0</v>
      </c>
      <c r="GO8" s="51" t="s">
        <v>148</v>
      </c>
      <c r="GP8" s="43">
        <v>0</v>
      </c>
      <c r="GQ8" s="52"/>
      <c r="GR8" s="43">
        <v>1266410.8400000001</v>
      </c>
      <c r="GT8" s="43">
        <v>0</v>
      </c>
      <c r="GV8" s="43">
        <v>900088.79</v>
      </c>
      <c r="GX8" s="43">
        <v>-2166499.63</v>
      </c>
      <c r="GZ8" s="49">
        <f>SUM(GP8:GX8)</f>
        <v>0</v>
      </c>
      <c r="HC8" s="51" t="s">
        <v>148</v>
      </c>
      <c r="HD8" s="43">
        <v>0</v>
      </c>
      <c r="HE8" s="52"/>
      <c r="HF8" s="43">
        <v>245401.62</v>
      </c>
      <c r="HH8" s="43">
        <v>0</v>
      </c>
      <c r="HJ8" s="43">
        <v>411000</v>
      </c>
      <c r="HL8" s="43">
        <v>-656401.62</v>
      </c>
      <c r="HN8" s="49">
        <f>SUM(HD8:HL8)</f>
        <v>0</v>
      </c>
      <c r="HQ8" s="51" t="s">
        <v>148</v>
      </c>
      <c r="HR8" s="43">
        <v>0</v>
      </c>
      <c r="HS8" s="52"/>
      <c r="HT8" s="43">
        <v>982347.64000000013</v>
      </c>
      <c r="HV8" s="43">
        <v>0</v>
      </c>
      <c r="HX8" s="43">
        <v>1644000</v>
      </c>
      <c r="HZ8" s="43">
        <v>-2626347.64</v>
      </c>
      <c r="IB8" s="49">
        <f>SUM(HR8:HZ8)</f>
        <v>0</v>
      </c>
      <c r="IE8" s="51" t="s">
        <v>148</v>
      </c>
      <c r="IF8" s="43">
        <v>0</v>
      </c>
      <c r="IG8" s="52"/>
      <c r="IH8" s="43">
        <v>740694.77</v>
      </c>
      <c r="IJ8" s="43">
        <v>0</v>
      </c>
      <c r="IL8" s="43">
        <v>1233000</v>
      </c>
      <c r="IN8" s="43">
        <v>-1973694.77</v>
      </c>
      <c r="IP8" s="49">
        <f>SUM(IF8:IN8)</f>
        <v>0</v>
      </c>
      <c r="IS8" s="51" t="s">
        <v>148</v>
      </c>
      <c r="IT8" s="43">
        <v>0</v>
      </c>
      <c r="IU8" s="52"/>
      <c r="IV8" s="43">
        <v>503650.56</v>
      </c>
      <c r="IX8" s="43">
        <v>0</v>
      </c>
      <c r="IZ8" s="43">
        <v>822000</v>
      </c>
      <c r="JB8" s="43">
        <v>-1325650.56</v>
      </c>
      <c r="JD8" s="49">
        <f>SUM(IT8:JB8)</f>
        <v>0</v>
      </c>
      <c r="JG8" s="51" t="s">
        <v>148</v>
      </c>
      <c r="JH8" s="43">
        <v>0</v>
      </c>
      <c r="JI8" s="52"/>
      <c r="JJ8" s="43">
        <v>236687.27</v>
      </c>
      <c r="JL8" s="43">
        <v>0</v>
      </c>
      <c r="JN8" s="43">
        <v>411000</v>
      </c>
      <c r="JP8" s="43">
        <v>-726512.56</v>
      </c>
      <c r="JR8" s="49">
        <f>SUM(JH8:JP8)</f>
        <v>-78825.290000000037</v>
      </c>
      <c r="JU8" s="51" t="s">
        <v>148</v>
      </c>
      <c r="JV8" s="43">
        <v>0</v>
      </c>
      <c r="JW8" s="52"/>
      <c r="JX8" s="43">
        <v>1045463.1399999999</v>
      </c>
      <c r="JZ8" s="43">
        <v>0</v>
      </c>
      <c r="KB8" s="43">
        <v>1644000</v>
      </c>
      <c r="KD8" s="43">
        <v>-2689463.14</v>
      </c>
      <c r="KF8" s="49">
        <f>SUM(JV8:KD8)</f>
        <v>0</v>
      </c>
      <c r="KI8" s="51" t="s">
        <v>148</v>
      </c>
      <c r="KJ8" s="43">
        <v>0</v>
      </c>
      <c r="KK8" s="52"/>
      <c r="KL8" s="43">
        <v>785045.75</v>
      </c>
      <c r="KN8" s="43">
        <v>0</v>
      </c>
      <c r="KP8" s="43">
        <v>1507500</v>
      </c>
      <c r="KR8" s="43">
        <v>-2292545.75</v>
      </c>
      <c r="KT8" s="49">
        <f>SUM(KJ8:KR8)</f>
        <v>0</v>
      </c>
      <c r="KW8" s="51" t="s">
        <v>148</v>
      </c>
      <c r="KX8" s="43">
        <v>0</v>
      </c>
      <c r="KY8" s="52"/>
      <c r="KZ8" s="43">
        <v>550402.82999999996</v>
      </c>
      <c r="LB8" s="43">
        <v>0</v>
      </c>
      <c r="LD8" s="43">
        <v>1005000</v>
      </c>
      <c r="LF8" s="43">
        <v>-1555402.83</v>
      </c>
      <c r="LH8" s="149">
        <f>SUM(KX8:LF8)</f>
        <v>0</v>
      </c>
      <c r="LJ8" s="51" t="s">
        <v>148</v>
      </c>
      <c r="LK8" s="43">
        <v>0</v>
      </c>
      <c r="LL8" s="52"/>
      <c r="LM8" s="43">
        <v>307449.08999999997</v>
      </c>
      <c r="LO8" s="156">
        <v>0</v>
      </c>
      <c r="LQ8" s="43">
        <v>502500</v>
      </c>
      <c r="LS8" s="43">
        <v>-809949.09</v>
      </c>
      <c r="LU8" s="49">
        <f>SUM(LK8:LS8)</f>
        <v>0</v>
      </c>
      <c r="LV8" s="49"/>
      <c r="LW8" s="51" t="s">
        <v>148</v>
      </c>
      <c r="LX8" s="43">
        <v>0</v>
      </c>
      <c r="LY8" s="52"/>
      <c r="LZ8" s="43">
        <v>930906.23</v>
      </c>
      <c r="MB8" s="43">
        <v>0</v>
      </c>
      <c r="MD8" s="43">
        <v>2010000</v>
      </c>
      <c r="MF8" s="43">
        <v>-2940906.23</v>
      </c>
      <c r="MH8" s="49">
        <f>SUM(LX8:MF8)</f>
        <v>0</v>
      </c>
      <c r="MK8" s="51" t="s">
        <v>148</v>
      </c>
      <c r="ML8" s="43">
        <v>0</v>
      </c>
      <c r="MM8" s="52"/>
      <c r="MN8" s="43">
        <v>699998.04</v>
      </c>
      <c r="MP8" s="43">
        <v>0</v>
      </c>
      <c r="MR8" s="43">
        <v>1507500</v>
      </c>
      <c r="MT8" s="43">
        <v>-2207498.04</v>
      </c>
      <c r="MV8" s="49">
        <f>SUM(ML8:MT8)</f>
        <v>0</v>
      </c>
      <c r="MY8" s="51" t="s">
        <v>148</v>
      </c>
      <c r="MZ8" s="43">
        <v>0</v>
      </c>
      <c r="NA8" s="52"/>
      <c r="NB8" s="43">
        <v>450703.65</v>
      </c>
      <c r="ND8" s="43">
        <v>0</v>
      </c>
      <c r="NF8" s="43">
        <v>1005000</v>
      </c>
      <c r="NH8" s="43">
        <v>-1455703.65</v>
      </c>
      <c r="NJ8" s="149">
        <f>SUM(MZ8:NH8)</f>
        <v>0</v>
      </c>
      <c r="NL8" s="51" t="s">
        <v>148</v>
      </c>
      <c r="NM8" s="43">
        <v>0</v>
      </c>
      <c r="NN8" s="52"/>
      <c r="NO8" s="43">
        <v>253847.58999999997</v>
      </c>
      <c r="NQ8" s="156">
        <v>0</v>
      </c>
      <c r="NS8" s="43">
        <v>561000</v>
      </c>
      <c r="NU8" s="43">
        <v>-814847.59</v>
      </c>
      <c r="NW8" s="149">
        <f>SUM(NM8:NU8)</f>
        <v>0</v>
      </c>
      <c r="NY8" s="51" t="s">
        <v>148</v>
      </c>
      <c r="NZ8" s="43">
        <v>0</v>
      </c>
      <c r="OA8" s="52">
        <v>0</v>
      </c>
      <c r="OB8" s="43">
        <v>3238050.34</v>
      </c>
      <c r="OD8" s="43">
        <v>0</v>
      </c>
      <c r="OF8" s="43">
        <v>4557000</v>
      </c>
      <c r="OH8" s="43">
        <v>-7795050.3399999999</v>
      </c>
      <c r="OJ8" s="149">
        <f>SUM(NZ8:OH8)</f>
        <v>0</v>
      </c>
      <c r="OK8" s="68"/>
      <c r="OL8" s="51" t="s">
        <v>148</v>
      </c>
      <c r="OM8" s="43">
        <v>0</v>
      </c>
      <c r="ON8" s="52"/>
      <c r="OO8" s="43">
        <v>2937642.71</v>
      </c>
      <c r="OQ8" s="130">
        <v>0</v>
      </c>
      <c r="OS8" s="43">
        <v>4986000</v>
      </c>
      <c r="OU8" s="43">
        <v>-7923642.71</v>
      </c>
      <c r="OW8" s="49">
        <f>SUM(OM8:OU8)</f>
        <v>0</v>
      </c>
      <c r="OX8" s="68"/>
      <c r="OY8" s="51" t="s">
        <v>148</v>
      </c>
      <c r="OZ8" s="43">
        <v>0</v>
      </c>
      <c r="PA8" s="52"/>
      <c r="PB8" s="43">
        <v>2433388.41</v>
      </c>
      <c r="PD8" s="130"/>
      <c r="PF8" s="43">
        <v>4215000</v>
      </c>
      <c r="PH8" s="43">
        <v>-6648388.4100000001</v>
      </c>
      <c r="PJ8" s="49">
        <f>SUM(OZ8:PH8)</f>
        <v>0</v>
      </c>
      <c r="PK8" s="68"/>
      <c r="PL8" s="51" t="s">
        <v>148</v>
      </c>
      <c r="PM8" s="43">
        <v>0</v>
      </c>
      <c r="PN8" s="52"/>
      <c r="PO8" s="43">
        <v>1977114.45</v>
      </c>
      <c r="PQ8" s="130"/>
      <c r="PS8" s="43">
        <v>3444000</v>
      </c>
      <c r="PU8" s="43">
        <v>-5421114.4500000002</v>
      </c>
      <c r="PW8" s="49">
        <f>SUM(PM8:PU8)</f>
        <v>0</v>
      </c>
      <c r="PX8" s="68"/>
      <c r="PY8" s="51" t="s">
        <v>148</v>
      </c>
      <c r="PZ8" s="43">
        <v>0</v>
      </c>
      <c r="QA8" s="52"/>
      <c r="QB8" s="43">
        <v>1751805.18</v>
      </c>
      <c r="QD8" s="43">
        <v>0</v>
      </c>
      <c r="QF8" s="43">
        <v>2583000</v>
      </c>
      <c r="QH8" s="43">
        <v>-4334805.1800000006</v>
      </c>
      <c r="QJ8" s="49">
        <f>SUM(PZ8:QH8)</f>
        <v>0</v>
      </c>
      <c r="QK8" s="68"/>
      <c r="QL8" s="51" t="s">
        <v>148</v>
      </c>
      <c r="QM8" s="43">
        <v>0</v>
      </c>
      <c r="QN8" s="52"/>
      <c r="QO8" s="43">
        <v>1619286.5</v>
      </c>
      <c r="QQ8" s="43">
        <v>0</v>
      </c>
      <c r="QS8" s="43">
        <v>1722000</v>
      </c>
      <c r="QU8" s="43">
        <v>-3341286.5</v>
      </c>
      <c r="QW8" s="49">
        <f>SUM(QM8:QU8)</f>
        <v>0</v>
      </c>
      <c r="QX8" s="68"/>
      <c r="QY8" s="51" t="s">
        <v>148</v>
      </c>
      <c r="QZ8" s="43">
        <v>0</v>
      </c>
      <c r="RA8" s="52"/>
      <c r="RB8" s="43">
        <v>0</v>
      </c>
      <c r="RD8" s="43">
        <v>0</v>
      </c>
      <c r="RF8" s="43">
        <v>861000</v>
      </c>
      <c r="RH8" s="43">
        <v>-861000</v>
      </c>
      <c r="RJ8" s="49">
        <f>SUM(QZ8:RH8)</f>
        <v>0</v>
      </c>
      <c r="RK8" s="68"/>
      <c r="RL8" s="51" t="s">
        <v>148</v>
      </c>
      <c r="RM8" s="43">
        <v>0</v>
      </c>
      <c r="RN8" s="52"/>
      <c r="RO8" s="43">
        <v>3855620.18</v>
      </c>
      <c r="RQ8" s="43">
        <v>0</v>
      </c>
      <c r="RS8" s="43">
        <v>5273997.6900000013</v>
      </c>
      <c r="RU8" s="43">
        <v>-9129617.870000001</v>
      </c>
      <c r="RW8" s="49">
        <f>SUM(RM8:RU8)</f>
        <v>0</v>
      </c>
      <c r="RX8" s="68"/>
      <c r="RY8" s="51" t="s">
        <v>148</v>
      </c>
      <c r="RZ8" s="43"/>
      <c r="SA8" s="52"/>
      <c r="SB8" s="43">
        <v>761520.18</v>
      </c>
      <c r="SD8" s="43">
        <v>0</v>
      </c>
      <c r="SF8" s="43">
        <v>3644891.65</v>
      </c>
      <c r="SH8" s="43">
        <v>-4406411.83</v>
      </c>
      <c r="SJ8" s="49">
        <f>SUM(RZ8:SH8)</f>
        <v>0</v>
      </c>
      <c r="SK8" s="68"/>
      <c r="SL8" s="51" t="s">
        <v>148</v>
      </c>
      <c r="SM8" s="43">
        <v>0</v>
      </c>
      <c r="SN8" s="52"/>
      <c r="SO8" s="43">
        <v>692140.18</v>
      </c>
      <c r="SQ8" s="43">
        <v>231979.51</v>
      </c>
      <c r="SS8" s="43">
        <v>2427774.9899999998</v>
      </c>
      <c r="SU8" s="43">
        <v>-3351894.6799999997</v>
      </c>
      <c r="SW8" s="49">
        <f>SUM(SM8:SU8)</f>
        <v>0</v>
      </c>
      <c r="SX8" s="68"/>
      <c r="SY8" s="51" t="s">
        <v>148</v>
      </c>
      <c r="SZ8" s="43">
        <v>0</v>
      </c>
      <c r="TA8" s="52"/>
      <c r="TB8" s="43">
        <v>44100</v>
      </c>
      <c r="TD8" s="43">
        <v>56400</v>
      </c>
      <c r="TF8" s="43">
        <v>810000</v>
      </c>
      <c r="TH8" s="43">
        <v>-910500</v>
      </c>
      <c r="TJ8" s="43">
        <v>0</v>
      </c>
      <c r="TK8" s="68"/>
      <c r="TL8" s="51" t="s">
        <v>148</v>
      </c>
      <c r="TM8" s="43">
        <v>0</v>
      </c>
      <c r="TN8" s="52"/>
      <c r="TO8" s="43">
        <v>954027.28</v>
      </c>
      <c r="TQ8" s="43">
        <v>869288.49</v>
      </c>
      <c r="TS8" s="43">
        <v>4736400</v>
      </c>
      <c r="TU8" s="43">
        <v>-6559715.7699999996</v>
      </c>
      <c r="TW8" s="43">
        <v>0</v>
      </c>
      <c r="TX8" s="68"/>
      <c r="TY8" s="51" t="s">
        <v>148</v>
      </c>
      <c r="TZ8" s="43">
        <v>0</v>
      </c>
      <c r="UA8" s="52"/>
      <c r="UB8" s="43">
        <v>6597.28</v>
      </c>
      <c r="UD8" s="43">
        <v>653557.49</v>
      </c>
      <c r="UF8" s="43">
        <v>3552300</v>
      </c>
      <c r="UH8" s="43">
        <v>-4212454.7699999996</v>
      </c>
      <c r="UJ8" s="43">
        <f>SUM(TZ8:UH8)</f>
        <v>0</v>
      </c>
      <c r="UK8" s="68"/>
      <c r="UL8" s="68" t="s">
        <v>148</v>
      </c>
      <c r="UM8" s="43">
        <v>0</v>
      </c>
      <c r="UN8" s="52"/>
      <c r="UO8" s="43">
        <v>6597.28</v>
      </c>
      <c r="UQ8" s="43">
        <v>104512.49</v>
      </c>
      <c r="US8" s="43">
        <v>2368200</v>
      </c>
      <c r="UU8" s="43">
        <v>-2479309.77</v>
      </c>
      <c r="UW8" s="43">
        <v>0</v>
      </c>
      <c r="UX8" s="68"/>
      <c r="UY8" s="68" t="s">
        <v>148</v>
      </c>
      <c r="UZ8" s="43">
        <v>0</v>
      </c>
      <c r="VA8" s="52"/>
      <c r="VB8" s="43">
        <v>0</v>
      </c>
      <c r="VD8" s="43">
        <v>0</v>
      </c>
      <c r="VF8" s="43">
        <f>1190.7*1000</f>
        <v>1190700</v>
      </c>
      <c r="VH8" s="43">
        <f>-1190.69728*1000</f>
        <v>-1190697.28</v>
      </c>
      <c r="VJ8" s="43">
        <v>2.7199999997264968E-3</v>
      </c>
      <c r="VK8" s="68"/>
      <c r="VL8" s="51" t="s">
        <v>148</v>
      </c>
      <c r="VM8" s="43">
        <v>0</v>
      </c>
      <c r="VN8" s="52"/>
      <c r="VO8" s="43">
        <v>0</v>
      </c>
      <c r="VQ8" s="43">
        <v>889296</v>
      </c>
      <c r="VS8" s="43">
        <v>4932601.24</v>
      </c>
      <c r="VU8" s="43">
        <v>-5821897.2400000002</v>
      </c>
      <c r="VW8" s="43">
        <f>SUM(VM8:VU8)</f>
        <v>0</v>
      </c>
      <c r="VX8" s="68"/>
      <c r="VY8" s="51" t="s">
        <v>148</v>
      </c>
      <c r="VZ8" s="43"/>
      <c r="WA8" s="52"/>
      <c r="WF8" s="43">
        <f>3733.35665*1000</f>
        <v>3733356.6500000004</v>
      </c>
      <c r="WH8" s="43">
        <f>-WF8</f>
        <v>-3733356.6500000004</v>
      </c>
      <c r="WJ8" s="43">
        <f>SUM(VZ8:WH8)</f>
        <v>0</v>
      </c>
      <c r="WK8" s="68"/>
      <c r="WL8" s="68" t="s">
        <v>148</v>
      </c>
      <c r="WM8" s="43">
        <v>0</v>
      </c>
      <c r="WN8" s="52">
        <v>0</v>
      </c>
      <c r="WO8" s="43">
        <v>0</v>
      </c>
      <c r="WP8" s="43">
        <v>0</v>
      </c>
      <c r="WQ8" s="43">
        <v>0</v>
      </c>
      <c r="WR8" s="43">
        <v>0</v>
      </c>
      <c r="WS8" s="43">
        <v>2543853.9900000002</v>
      </c>
      <c r="WT8" s="43">
        <v>0</v>
      </c>
      <c r="WU8" s="43">
        <v>-2543853.9900000002</v>
      </c>
      <c r="WW8" s="43">
        <v>0</v>
      </c>
      <c r="WX8" s="43"/>
      <c r="WY8" s="68" t="s">
        <v>148</v>
      </c>
      <c r="WZ8" s="43">
        <v>0</v>
      </c>
      <c r="XA8" s="52"/>
      <c r="XB8" s="43">
        <v>0</v>
      </c>
      <c r="XD8" s="43">
        <v>0</v>
      </c>
      <c r="XF8" s="43">
        <f>1223.60773*1000</f>
        <v>1223607.73</v>
      </c>
      <c r="XH8" s="43">
        <f>-1223.60773*1000</f>
        <v>-1223607.73</v>
      </c>
      <c r="XJ8" s="43">
        <v>0</v>
      </c>
      <c r="XK8" s="43"/>
      <c r="XL8" s="68" t="s">
        <v>148</v>
      </c>
      <c r="XM8" s="43">
        <v>0</v>
      </c>
      <c r="XN8" s="52"/>
      <c r="XO8" s="43">
        <v>0</v>
      </c>
      <c r="XQ8" s="43">
        <v>0</v>
      </c>
      <c r="XS8" s="43">
        <v>5247162.6722908253</v>
      </c>
      <c r="XU8" s="43">
        <v>-5247162.6722908253</v>
      </c>
      <c r="XW8" s="43">
        <f>SUM(XM8:XU8)</f>
        <v>0</v>
      </c>
      <c r="XX8" s="43"/>
      <c r="XY8" s="51" t="s">
        <v>148</v>
      </c>
      <c r="XZ8" s="43"/>
      <c r="YA8" s="52"/>
      <c r="YF8" s="43">
        <f>3988.16246*1000</f>
        <v>3988162.46</v>
      </c>
      <c r="YH8" s="43">
        <f>-3988.16246*1000</f>
        <v>-3988162.46</v>
      </c>
      <c r="YJ8" s="43">
        <v>0</v>
      </c>
    </row>
    <row r="9" spans="1:660">
      <c r="B9" s="164"/>
      <c r="C9" s="193"/>
      <c r="D9" s="164"/>
      <c r="E9" s="164"/>
      <c r="G9" s="164"/>
      <c r="H9" s="164"/>
      <c r="I9" s="164"/>
      <c r="J9" s="164"/>
      <c r="K9" s="164"/>
      <c r="L9" s="164"/>
      <c r="P9" s="164"/>
      <c r="Q9" s="193"/>
      <c r="R9" s="164"/>
      <c r="S9" s="164"/>
      <c r="U9" s="164"/>
      <c r="V9" s="164"/>
      <c r="W9" s="164"/>
      <c r="X9" s="164"/>
      <c r="Y9" s="164"/>
      <c r="Z9" s="164"/>
      <c r="AD9" s="164"/>
      <c r="AE9" s="193"/>
      <c r="AF9" s="164"/>
      <c r="AG9" s="164"/>
      <c r="AI9" s="164"/>
      <c r="AJ9" s="164"/>
      <c r="AK9" s="164"/>
      <c r="AL9" s="164"/>
      <c r="AM9" s="164"/>
      <c r="AN9" s="164"/>
      <c r="AR9" s="164"/>
      <c r="AS9" s="193"/>
      <c r="AT9" s="164"/>
      <c r="AU9" s="164"/>
      <c r="AW9" s="164"/>
      <c r="AX9" s="164"/>
      <c r="AY9" s="164"/>
      <c r="AZ9" s="164"/>
      <c r="BA9" s="164"/>
      <c r="BB9" s="164"/>
      <c r="BF9" s="164"/>
      <c r="BG9" s="193"/>
      <c r="BH9" s="164"/>
      <c r="BI9" s="164"/>
      <c r="BK9" s="164"/>
      <c r="BL9" s="164"/>
      <c r="BM9" s="164"/>
      <c r="BN9" s="164"/>
      <c r="BO9" s="164"/>
      <c r="BP9" s="164"/>
      <c r="BT9" s="164"/>
      <c r="BU9" s="193"/>
      <c r="BV9" s="164"/>
      <c r="BW9" s="164"/>
      <c r="BY9" s="164"/>
      <c r="BZ9" s="164"/>
      <c r="CA9" s="164"/>
      <c r="CB9" s="164"/>
      <c r="CC9" s="164"/>
      <c r="CD9" s="164"/>
      <c r="CH9" s="164"/>
      <c r="CI9" s="193"/>
      <c r="CJ9" s="164"/>
      <c r="CK9" s="164"/>
      <c r="CM9" s="164"/>
      <c r="CN9" s="164"/>
      <c r="CO9" s="164"/>
      <c r="CP9" s="164"/>
      <c r="CQ9" s="164"/>
      <c r="CR9" s="164"/>
      <c r="CV9" s="164"/>
      <c r="CW9" s="193"/>
      <c r="CX9" s="164"/>
      <c r="CY9" s="164"/>
      <c r="DA9" s="164"/>
      <c r="DB9" s="164"/>
      <c r="DC9" s="164"/>
      <c r="DD9" s="164"/>
      <c r="DE9" s="164"/>
      <c r="DF9" s="164"/>
      <c r="DJ9" s="164"/>
      <c r="DK9" s="193"/>
      <c r="DL9" s="164"/>
      <c r="DM9" s="164"/>
      <c r="DO9" s="164"/>
      <c r="DP9" s="164"/>
      <c r="DQ9" s="164"/>
      <c r="DR9" s="164"/>
      <c r="DS9" s="164"/>
      <c r="DT9" s="164"/>
      <c r="DX9" s="43"/>
      <c r="EL9" s="43"/>
      <c r="EZ9" s="43"/>
      <c r="FN9" s="43"/>
      <c r="GB9" s="43"/>
      <c r="GP9" s="43"/>
      <c r="HD9" s="43"/>
      <c r="HR9" s="43"/>
      <c r="IF9" s="43"/>
      <c r="IT9" s="43"/>
      <c r="JH9" s="43"/>
      <c r="JV9" s="43"/>
      <c r="KJ9" s="43"/>
      <c r="KX9" s="43"/>
      <c r="LB9" s="156"/>
      <c r="LK9" s="43"/>
      <c r="LO9" s="156"/>
      <c r="LX9" s="43"/>
      <c r="ML9" s="43"/>
      <c r="MZ9" s="43"/>
      <c r="ND9" s="156"/>
      <c r="NM9" s="43"/>
      <c r="NQ9" s="156"/>
      <c r="NZ9" s="43"/>
      <c r="OD9" s="156"/>
      <c r="OK9" s="66"/>
      <c r="OM9" s="43"/>
      <c r="OQ9" s="130"/>
      <c r="OX9" s="66"/>
      <c r="OZ9" s="43"/>
      <c r="PD9" s="130"/>
      <c r="PK9" s="66"/>
      <c r="PM9" s="43"/>
      <c r="PQ9" s="130"/>
      <c r="PX9" s="66"/>
      <c r="PZ9" s="43"/>
      <c r="QK9" s="66"/>
      <c r="QM9" s="43"/>
      <c r="QX9" s="66"/>
      <c r="QZ9" s="43"/>
      <c r="RK9" s="66"/>
      <c r="RM9" s="43"/>
      <c r="RX9" s="66"/>
      <c r="RZ9" s="43"/>
      <c r="SK9" s="66"/>
      <c r="SM9" s="43"/>
      <c r="SX9" s="66"/>
      <c r="SZ9" s="43"/>
      <c r="TK9" s="66"/>
      <c r="TM9" s="43"/>
      <c r="TX9" s="66"/>
      <c r="TZ9" s="43"/>
      <c r="UK9" s="66"/>
      <c r="UL9" s="66"/>
      <c r="UM9" s="43"/>
      <c r="UX9" s="66"/>
      <c r="UY9" s="66"/>
      <c r="UZ9" s="43"/>
      <c r="VK9" s="66"/>
      <c r="VM9" s="43"/>
      <c r="VX9" s="66"/>
      <c r="VZ9" s="43"/>
      <c r="WK9" s="66"/>
      <c r="WL9" s="66"/>
      <c r="WM9" s="43">
        <v>0</v>
      </c>
      <c r="WN9" s="44">
        <v>0</v>
      </c>
      <c r="WO9" s="43">
        <v>0</v>
      </c>
      <c r="WP9" s="43">
        <v>0</v>
      </c>
      <c r="WQ9" s="43">
        <v>0</v>
      </c>
      <c r="WR9" s="43">
        <v>0</v>
      </c>
      <c r="WS9" s="43">
        <v>0</v>
      </c>
      <c r="WT9" s="43">
        <v>0</v>
      </c>
      <c r="WU9" s="43">
        <v>0</v>
      </c>
      <c r="WX9" s="43"/>
      <c r="WY9" s="66"/>
      <c r="WZ9" s="43"/>
      <c r="XK9" s="43"/>
      <c r="XL9" s="66"/>
      <c r="XM9" s="43"/>
      <c r="XX9" s="43"/>
      <c r="XZ9" s="43"/>
    </row>
    <row r="10" spans="1:660" s="48" customFormat="1">
      <c r="A10" s="48" t="s">
        <v>149</v>
      </c>
      <c r="B10" s="166"/>
      <c r="C10" s="196"/>
      <c r="D10" s="166"/>
      <c r="E10" s="166"/>
      <c r="F10" s="166"/>
      <c r="G10" s="166"/>
      <c r="H10" s="166"/>
      <c r="I10" s="166"/>
      <c r="J10" s="166"/>
      <c r="K10" s="166"/>
      <c r="L10" s="166"/>
      <c r="O10" s="48" t="s">
        <v>149</v>
      </c>
      <c r="P10" s="166"/>
      <c r="Q10" s="196"/>
      <c r="R10" s="166"/>
      <c r="S10" s="166"/>
      <c r="T10" s="166"/>
      <c r="U10" s="166"/>
      <c r="V10" s="166"/>
      <c r="W10" s="166"/>
      <c r="X10" s="166"/>
      <c r="Y10" s="166"/>
      <c r="Z10" s="166"/>
      <c r="AC10" s="48" t="s">
        <v>149</v>
      </c>
      <c r="AD10" s="166"/>
      <c r="AE10" s="196"/>
      <c r="AF10" s="166"/>
      <c r="AG10" s="166"/>
      <c r="AH10" s="166"/>
      <c r="AI10" s="166"/>
      <c r="AJ10" s="166"/>
      <c r="AK10" s="166"/>
      <c r="AL10" s="166"/>
      <c r="AM10" s="166"/>
      <c r="AN10" s="166"/>
      <c r="AQ10" s="48" t="s">
        <v>149</v>
      </c>
      <c r="AR10" s="166">
        <f>SUM(AR11:AR17)</f>
        <v>-142753720.66954711</v>
      </c>
      <c r="AS10" s="196"/>
      <c r="AT10" s="166">
        <f>SUM(AT11:AT17)</f>
        <v>-9495959.7562128119</v>
      </c>
      <c r="AU10" s="166"/>
      <c r="AV10" s="166">
        <f>SUM(AV11:AV17)</f>
        <v>-4913144.5500000007</v>
      </c>
      <c r="AW10" s="166"/>
      <c r="AX10" s="166">
        <f>SUM(AX11:AX17)</f>
        <v>-5530700.9688104279</v>
      </c>
      <c r="AY10" s="166"/>
      <c r="AZ10" s="166">
        <f>SUM(AZ11:AZ17)</f>
        <v>1021642.55</v>
      </c>
      <c r="BA10" s="166"/>
      <c r="BB10" s="166">
        <f t="shared" ref="BB10:BB17" si="0">SUM(AR10:AZ10)</f>
        <v>-161671883.39457035</v>
      </c>
      <c r="BE10" s="48" t="s">
        <v>149</v>
      </c>
      <c r="BF10" s="166">
        <f>SUM(BF11:BF17)</f>
        <v>-441443156.65193087</v>
      </c>
      <c r="BG10" s="196"/>
      <c r="BH10" s="166">
        <f>SUM(BH11:BH17)</f>
        <v>-33746966.581784613</v>
      </c>
      <c r="BI10" s="166"/>
      <c r="BJ10" s="166">
        <f>SUM(BJ11:BJ17)</f>
        <v>-23285829.66</v>
      </c>
      <c r="BK10" s="166"/>
      <c r="BL10" s="166">
        <f>SUM(BL11:BL17)</f>
        <v>-22317422.969375089</v>
      </c>
      <c r="BM10" s="166"/>
      <c r="BN10" s="166">
        <f>SUM(BN11:BN17)</f>
        <v>3614317.2649166672</v>
      </c>
      <c r="BO10" s="166"/>
      <c r="BP10" s="166">
        <f t="shared" ref="BP10:BP17" si="1">SUM(BF10:BN10)</f>
        <v>-517179058.59817392</v>
      </c>
      <c r="BS10" s="48" t="s">
        <v>149</v>
      </c>
      <c r="BT10" s="166">
        <f>SUM(BT11:BT17)</f>
        <v>-346334371.0853138</v>
      </c>
      <c r="BU10" s="196"/>
      <c r="BV10" s="166">
        <f>SUM(BV11:BV17)</f>
        <v>-24111438.022042379</v>
      </c>
      <c r="BW10" s="166"/>
      <c r="BX10" s="166">
        <f>SUM(BX11:BX17)</f>
        <v>-17379400.859999999</v>
      </c>
      <c r="BY10" s="166"/>
      <c r="BZ10" s="166">
        <f>SUM(BZ11:BZ17)</f>
        <v>-15338962.947415264</v>
      </c>
      <c r="CA10" s="166"/>
      <c r="CB10" s="166">
        <f>SUM(CB11:CB17)</f>
        <v>2836594.5961027779</v>
      </c>
      <c r="CC10" s="166"/>
      <c r="CD10" s="166">
        <f t="shared" ref="CD10:CD17" si="2">SUM(BT10:CB10)</f>
        <v>-400327578.31866872</v>
      </c>
      <c r="CG10" s="48" t="s">
        <v>149</v>
      </c>
      <c r="CH10" s="166">
        <f>SUM(CH11:CH17)</f>
        <v>-262656746.43040884</v>
      </c>
      <c r="CI10" s="196"/>
      <c r="CJ10" s="166">
        <f>SUM(CJ11:CJ17)</f>
        <v>-16430552.035512824</v>
      </c>
      <c r="CK10" s="166"/>
      <c r="CL10" s="166">
        <f>SUM(CL11:CL17)</f>
        <v>-9309733.2799999993</v>
      </c>
      <c r="CM10" s="166"/>
      <c r="CN10" s="166">
        <f>SUM(CN11:CN17)</f>
        <v>-10531778.487990605</v>
      </c>
      <c r="CO10" s="166"/>
      <c r="CP10" s="166">
        <f>SUM(CP11:CP17)</f>
        <v>1906814.2914714403</v>
      </c>
      <c r="CQ10" s="166"/>
      <c r="CR10" s="166">
        <f t="shared" ref="CR10:CR17" si="3">SUM(CH10:CP10)</f>
        <v>-297021995.94244081</v>
      </c>
      <c r="CU10" s="48" t="s">
        <v>149</v>
      </c>
      <c r="CV10" s="166">
        <f>SUM(CV11:CV17)</f>
        <v>-209704623.16273841</v>
      </c>
      <c r="CW10" s="196"/>
      <c r="CX10" s="166">
        <f>SUM(CX11:CX17)</f>
        <v>-6984599.4378931886</v>
      </c>
      <c r="CY10" s="166"/>
      <c r="CZ10" s="166">
        <f>SUM(CZ11:CZ17)</f>
        <v>-4108606.5500000003</v>
      </c>
      <c r="DA10" s="166"/>
      <c r="DB10" s="166">
        <f>SUM(DB11:DB17)</f>
        <v>-6184035.3928943882</v>
      </c>
      <c r="DC10" s="166"/>
      <c r="DD10" s="166">
        <f>SUM(DD11:DD17)</f>
        <v>1052900.2400000002</v>
      </c>
      <c r="DE10" s="166"/>
      <c r="DF10" s="166">
        <f t="shared" ref="DF10:DF17" si="4">SUM(CV10:DD10)</f>
        <v>-225928964.30352598</v>
      </c>
      <c r="DI10" s="48" t="s">
        <v>149</v>
      </c>
      <c r="DJ10" s="166">
        <f>SUM(DJ11:DJ17)</f>
        <v>-315472299.98864162</v>
      </c>
      <c r="DK10" s="196"/>
      <c r="DL10" s="166">
        <f>SUM(DL11:DL17)</f>
        <v>-30331661.685368583</v>
      </c>
      <c r="DM10" s="166"/>
      <c r="DN10" s="166">
        <f>SUM(DN11:DN17)</f>
        <v>-15664060.27</v>
      </c>
      <c r="DO10" s="166"/>
      <c r="DP10" s="166">
        <f>SUM(DP11:DP17)</f>
        <v>-22109383.771657947</v>
      </c>
      <c r="DQ10" s="166"/>
      <c r="DR10" s="166">
        <f>SUM(DR11:DR17)</f>
        <v>4568156.6656681262</v>
      </c>
      <c r="DS10" s="166"/>
      <c r="DT10" s="166">
        <f t="shared" ref="DT10:DT17" si="5">SUM(DJ10:DR10)</f>
        <v>-379009249.05000001</v>
      </c>
      <c r="DW10" s="48" t="s">
        <v>149</v>
      </c>
      <c r="DX10" s="49">
        <f>SUM(DX11:DX17)</f>
        <v>-222680766.86592746</v>
      </c>
      <c r="DY10" s="50"/>
      <c r="DZ10" s="49">
        <f>SUM(DZ11:DZ17)</f>
        <v>-22482050.07554739</v>
      </c>
      <c r="EA10" s="49"/>
      <c r="EB10" s="166">
        <f>SUM(EB11:EB17)</f>
        <v>-10542621.630000001</v>
      </c>
      <c r="EC10" s="49"/>
      <c r="ED10" s="49">
        <f>SUM(ED11:ED17)</f>
        <v>-13775601.801028373</v>
      </c>
      <c r="EE10" s="49"/>
      <c r="EF10" s="49">
        <f>SUM(EF11:EF17)</f>
        <v>3144434.827552333</v>
      </c>
      <c r="EG10" s="49"/>
      <c r="EH10" s="49">
        <f>SUM(DX10:EF10)</f>
        <v>-266336605.5449509</v>
      </c>
      <c r="EK10" s="48" t="s">
        <v>149</v>
      </c>
      <c r="EL10" s="49">
        <f>SUM(EL11:EL17)</f>
        <v>-152291580.11210144</v>
      </c>
      <c r="EM10" s="50"/>
      <c r="EN10" s="49">
        <f>SUM(EN11:EN17)</f>
        <v>-15894662.098548824</v>
      </c>
      <c r="EO10" s="49"/>
      <c r="EP10" s="166">
        <f>SUM(EP11:EP17)</f>
        <v>-5679524.5200000005</v>
      </c>
      <c r="EQ10" s="49"/>
      <c r="ER10" s="49">
        <f>SUM(ER11:ER17)</f>
        <v>-9307545.0094898082</v>
      </c>
      <c r="ES10" s="49"/>
      <c r="ET10" s="49">
        <f>SUM(ET11:ET17)</f>
        <v>1506233.2004999998</v>
      </c>
      <c r="EU10" s="49"/>
      <c r="EV10" s="49">
        <f t="shared" ref="EV10:EV17" si="6">SUM(EL10:ET10)</f>
        <v>-181667078.53964007</v>
      </c>
      <c r="EY10" s="48" t="s">
        <v>149</v>
      </c>
      <c r="EZ10" s="49">
        <f>SUM(EZ11:EZ17)</f>
        <v>-106430740.48580146</v>
      </c>
      <c r="FA10" s="50"/>
      <c r="FB10" s="49">
        <f>SUM(FB11:FB17)</f>
        <v>-7195671.2664099531</v>
      </c>
      <c r="FC10" s="49"/>
      <c r="FD10" s="166">
        <f>SUM(FD11:FD17)</f>
        <v>-2028903.9700000002</v>
      </c>
      <c r="FE10" s="49"/>
      <c r="FF10" s="49">
        <f>SUM(FF11:FF17)</f>
        <v>-4227606.7664998602</v>
      </c>
      <c r="FG10" s="49"/>
      <c r="FH10" s="49">
        <f>SUM(FH11:FH17)</f>
        <v>696704.75016468728</v>
      </c>
      <c r="FI10" s="49"/>
      <c r="FJ10" s="49">
        <f t="shared" ref="FJ10:FJ17" si="7">SUM(EZ10:FH10)</f>
        <v>-119186217.73854658</v>
      </c>
      <c r="FM10" s="48" t="s">
        <v>149</v>
      </c>
      <c r="FN10" s="49">
        <f>SUM(FN11:FN17)</f>
        <v>-111715960.24780455</v>
      </c>
      <c r="FO10" s="50"/>
      <c r="FP10" s="49">
        <f>SUM(FP11:FP17)</f>
        <v>-25811965.164719511</v>
      </c>
      <c r="FQ10" s="49"/>
      <c r="FR10" s="166">
        <f>SUM(FR11:FR17)</f>
        <v>-9337844.5999999996</v>
      </c>
      <c r="FS10" s="49"/>
      <c r="FT10" s="49">
        <f>SUM(FT11:FT17)</f>
        <v>-7657688.0141495159</v>
      </c>
      <c r="FU10" s="49"/>
      <c r="FV10" s="49">
        <f>SUM(FV11:FV17)</f>
        <v>5280415.233000014</v>
      </c>
      <c r="FW10" s="49"/>
      <c r="FX10" s="49">
        <f t="shared" ref="FX10:FX17" si="8">SUM(FN10:FV10)</f>
        <v>-149243042.79367357</v>
      </c>
      <c r="GA10" s="48" t="s">
        <v>149</v>
      </c>
      <c r="GB10" s="49">
        <f>SUM(GB11:GB17)</f>
        <v>-72653223.108187169</v>
      </c>
      <c r="GC10" s="50"/>
      <c r="GD10" s="49">
        <f>SUM(GD11:GD17)</f>
        <v>-19579921.079999998</v>
      </c>
      <c r="GE10" s="49"/>
      <c r="GF10" s="166">
        <f>SUM(GF11:GF17)</f>
        <v>-5196471.18</v>
      </c>
      <c r="GG10" s="49"/>
      <c r="GH10" s="49">
        <f>SUM(GH11:GH17)</f>
        <v>-3495401.2224149536</v>
      </c>
      <c r="GI10" s="49"/>
      <c r="GJ10" s="49">
        <f>SUM(GJ11:GJ17)</f>
        <v>4144301.8522454659</v>
      </c>
      <c r="GK10" s="49"/>
      <c r="GL10" s="49">
        <f>SUM(GB10:GJ10)</f>
        <v>-96780714.73835665</v>
      </c>
      <c r="GO10" s="48" t="s">
        <v>149</v>
      </c>
      <c r="GP10" s="49">
        <f>SUM(GP11:GP17)</f>
        <v>-49307269.597927496</v>
      </c>
      <c r="GQ10" s="50"/>
      <c r="GR10" s="49">
        <f>SUM(GR11:GR17)</f>
        <v>-13097490.271499999</v>
      </c>
      <c r="GS10" s="49"/>
      <c r="GT10" s="166">
        <f>SUM(GT11:GT17)</f>
        <v>-3367834.3699999996</v>
      </c>
      <c r="GU10" s="49"/>
      <c r="GV10" s="49">
        <f>SUM(GV11:GV17)</f>
        <v>499994.4828071362</v>
      </c>
      <c r="GW10" s="49"/>
      <c r="GX10" s="49">
        <f>SUM(GX11:GX17)</f>
        <v>2068990.278715479</v>
      </c>
      <c r="GY10" s="49"/>
      <c r="GZ10" s="49">
        <f t="shared" ref="GZ10:GZ17" si="9">SUM(GP10:GX10)</f>
        <v>-63203609.477904879</v>
      </c>
      <c r="HC10" s="48" t="s">
        <v>149</v>
      </c>
      <c r="HD10" s="49">
        <f>SUM(HD11:HD17)</f>
        <v>-24257191.229999993</v>
      </c>
      <c r="HE10" s="50"/>
      <c r="HF10" s="49">
        <f>SUM(HF11:HF17)</f>
        <v>-5870340.9900000002</v>
      </c>
      <c r="HG10" s="49"/>
      <c r="HH10" s="166">
        <f>SUM(HH11:HH17)</f>
        <v>-1679254.61</v>
      </c>
      <c r="HI10" s="49"/>
      <c r="HJ10" s="49">
        <f>SUM(HJ11:HJ17)</f>
        <v>-2077435.7405000001</v>
      </c>
      <c r="HK10" s="49"/>
      <c r="HL10" s="49">
        <f>SUM(HL11:HL17)</f>
        <v>568135.17311476835</v>
      </c>
      <c r="HM10" s="49"/>
      <c r="HN10" s="49">
        <f t="shared" ref="HN10:HN17" si="10">SUM(HD10:HL10)</f>
        <v>-33316087.397385225</v>
      </c>
      <c r="HQ10" s="48" t="s">
        <v>149</v>
      </c>
      <c r="HR10" s="49">
        <f>SUM(HR11:HR17)</f>
        <v>-83535568.189999998</v>
      </c>
      <c r="HS10" s="50"/>
      <c r="HT10" s="49">
        <f>SUM(HT11:HT17)</f>
        <v>-23361228.52</v>
      </c>
      <c r="HU10" s="49"/>
      <c r="HV10" s="166">
        <f>SUM(HV11:HV17)</f>
        <v>-5148242.1800000006</v>
      </c>
      <c r="HW10" s="49"/>
      <c r="HX10" s="49">
        <f>SUM(HX11:HX17)</f>
        <v>-7843543.6519999988</v>
      </c>
      <c r="HY10" s="49"/>
      <c r="HZ10" s="49">
        <f>SUM(HZ11:HZ17)</f>
        <v>2448310.2000000151</v>
      </c>
      <c r="IA10" s="49"/>
      <c r="IB10" s="49">
        <f t="shared" ref="IB10:IB17" si="11">SUM(HR10:HZ10)</f>
        <v>-117440272.34199998</v>
      </c>
      <c r="IE10" s="48" t="s">
        <v>149</v>
      </c>
      <c r="IF10" s="49">
        <f>SUM(IF11:IF17)</f>
        <v>-45211255.809999995</v>
      </c>
      <c r="IG10" s="50"/>
      <c r="IH10" s="49">
        <f>SUM(IH11:IH17)</f>
        <v>-17287261.200000003</v>
      </c>
      <c r="II10" s="49"/>
      <c r="IJ10" s="166">
        <f>SUM(IJ11:IJ17)</f>
        <v>-4059241.44</v>
      </c>
      <c r="IK10" s="49"/>
      <c r="IL10" s="49">
        <f>SUM(IL11:IL17)</f>
        <v>-5519988.9514999995</v>
      </c>
      <c r="IM10" s="49"/>
      <c r="IN10" s="49">
        <f>SUM(IN11:IN17)</f>
        <v>1882811.0524391057</v>
      </c>
      <c r="IO10" s="49"/>
      <c r="IP10" s="49">
        <f>SUM(IF10:IN10)</f>
        <v>-70194936.349060893</v>
      </c>
      <c r="IS10" s="48" t="s">
        <v>149</v>
      </c>
      <c r="IT10" s="49">
        <f>SUM(IT11:IT17)</f>
        <v>-37549733.25</v>
      </c>
      <c r="IU10" s="50"/>
      <c r="IV10" s="49">
        <f>SUM(IV11:IV17)</f>
        <v>-11426065.52</v>
      </c>
      <c r="IW10" s="49"/>
      <c r="IX10" s="166">
        <f>SUM(IX11:IX17)</f>
        <v>-2129258.77</v>
      </c>
      <c r="IY10" s="49"/>
      <c r="IZ10" s="49">
        <f>SUM(IZ11:IZ17)</f>
        <v>-4167828.6710000001</v>
      </c>
      <c r="JA10" s="49"/>
      <c r="JB10" s="49">
        <f>SUM(JB11:JB17)</f>
        <v>1317725.3241450796</v>
      </c>
      <c r="JC10" s="49"/>
      <c r="JD10" s="49">
        <f t="shared" ref="JD10:JD17" si="12">SUM(IT10:JB10)</f>
        <v>-53955160.886854917</v>
      </c>
      <c r="JG10" s="48" t="s">
        <v>149</v>
      </c>
      <c r="JH10" s="49">
        <f>SUM(JH11:JH17)</f>
        <v>-22165179.329999998</v>
      </c>
      <c r="JI10" s="50"/>
      <c r="JJ10" s="49">
        <f>SUM(JJ11:JJ17)</f>
        <v>-5455862.3399999999</v>
      </c>
      <c r="JK10" s="49"/>
      <c r="JL10" s="166">
        <f>SUM(JL11:JL17)</f>
        <v>-986335.2300000001</v>
      </c>
      <c r="JM10" s="49"/>
      <c r="JN10" s="49">
        <f>SUM(JN11:JN17)</f>
        <v>-1951773.7105</v>
      </c>
      <c r="JO10" s="49"/>
      <c r="JP10" s="49">
        <f>SUM(JP11:JP17)</f>
        <v>807044.30858654773</v>
      </c>
      <c r="JQ10" s="49"/>
      <c r="JR10" s="49">
        <f t="shared" ref="JR10:JR17" si="13">SUM(JH10:JP10)</f>
        <v>-29752106.301913451</v>
      </c>
      <c r="JU10" s="48" t="s">
        <v>149</v>
      </c>
      <c r="JV10" s="49">
        <f>SUM(JV11:JV17)</f>
        <v>-80031237.929999992</v>
      </c>
      <c r="JW10" s="50"/>
      <c r="JX10" s="49">
        <f>SUM(JX11:JX17)</f>
        <v>-23276284.899999999</v>
      </c>
      <c r="JY10" s="49"/>
      <c r="JZ10" s="166">
        <f>SUM(JZ11:JZ17)</f>
        <v>-4371109.4399999995</v>
      </c>
      <c r="KA10" s="49"/>
      <c r="KB10" s="49">
        <f>SUM(KB11:KB17)</f>
        <v>-8535244.9220000003</v>
      </c>
      <c r="KC10" s="49"/>
      <c r="KD10" s="49">
        <f>SUM(KD11:KD17)</f>
        <v>2859102.2061544051</v>
      </c>
      <c r="KE10" s="49"/>
      <c r="KF10" s="49">
        <f t="shared" ref="KF10:KF17" si="14">SUM(JV10:KD10)</f>
        <v>-113354774.98584558</v>
      </c>
      <c r="KI10" s="48" t="s">
        <v>149</v>
      </c>
      <c r="KJ10" s="49">
        <f>SUM(KJ11:KJ17)</f>
        <v>-63586169.640000001</v>
      </c>
      <c r="KK10" s="50"/>
      <c r="KL10" s="49">
        <f>SUM(KL11:KL17)</f>
        <v>-17775476.849999998</v>
      </c>
      <c r="KM10" s="49"/>
      <c r="KN10" s="166">
        <f>SUM(KN11:KN17)</f>
        <v>-3454748.1500000004</v>
      </c>
      <c r="KO10" s="49"/>
      <c r="KP10" s="49">
        <f>SUM(KP11:KP17)</f>
        <v>-6270845.7715000007</v>
      </c>
      <c r="KQ10" s="49"/>
      <c r="KR10" s="49">
        <f>SUM(KR11:KR17)</f>
        <v>2401260.3976768847</v>
      </c>
      <c r="KS10" s="49"/>
      <c r="KT10" s="49">
        <f>SUM(KJ10:KR10)</f>
        <v>-88685980.013823122</v>
      </c>
      <c r="KW10" s="48" t="s">
        <v>149</v>
      </c>
      <c r="KX10" s="49">
        <f>SUM(KX11:KX17)</f>
        <v>-49911409.200000003</v>
      </c>
      <c r="KY10" s="50"/>
      <c r="KZ10" s="49">
        <f>SUM(KZ11:KZ17)</f>
        <v>-13007921.52</v>
      </c>
      <c r="LA10" s="49"/>
      <c r="LB10" s="157">
        <f>SUM(LB11:LB17)</f>
        <v>-2351290.3000000003</v>
      </c>
      <c r="LC10" s="49"/>
      <c r="LD10" s="49">
        <f>SUM(LD11:LD17)</f>
        <v>-4230721.7710000006</v>
      </c>
      <c r="LE10" s="49"/>
      <c r="LF10" s="49">
        <f>SUM(LF11:LF17)</f>
        <v>1601467.4799149346</v>
      </c>
      <c r="LG10" s="49"/>
      <c r="LH10" s="49">
        <f>SUM(KX10:LF10)</f>
        <v>-67899875.31108506</v>
      </c>
      <c r="LJ10" s="48" t="s">
        <v>149</v>
      </c>
      <c r="LK10" s="49">
        <f>SUM(LK11:LK17)</f>
        <v>-25323714.989999998</v>
      </c>
      <c r="LL10" s="50"/>
      <c r="LM10" s="49">
        <f>SUM(LM11:LM17)</f>
        <v>-6397705.3600000003</v>
      </c>
      <c r="LN10" s="49"/>
      <c r="LO10" s="157">
        <f>SUM(LO11:LO17)</f>
        <v>-1210291.9100000001</v>
      </c>
      <c r="LP10" s="49"/>
      <c r="LQ10" s="49">
        <f>SUM(LQ11:LQ17)</f>
        <v>-2173657.7505000001</v>
      </c>
      <c r="LR10" s="49"/>
      <c r="LS10" s="49">
        <f>SUM(LS11:LS17)</f>
        <v>800682.19425998745</v>
      </c>
      <c r="LT10" s="49"/>
      <c r="LU10" s="49">
        <f t="shared" ref="LU10:LU17" si="15">SUM(LK10:LS10)</f>
        <v>-34304687.816240013</v>
      </c>
      <c r="LV10" s="49"/>
      <c r="LW10" s="48" t="s">
        <v>149</v>
      </c>
      <c r="LX10" s="49">
        <f>SUM(LX11:LX17)</f>
        <v>-93077583.420000002</v>
      </c>
      <c r="LY10" s="50"/>
      <c r="LZ10" s="49">
        <f>SUM(LZ11:LZ17)</f>
        <v>-17751939.5</v>
      </c>
      <c r="MA10" s="49"/>
      <c r="MB10" s="166">
        <f>SUM(MB11:MB17)</f>
        <v>-3509902.8299999991</v>
      </c>
      <c r="MC10" s="49"/>
      <c r="MD10" s="49">
        <f>SUM(MD11:MD17)</f>
        <v>-10904349.152000001</v>
      </c>
      <c r="ME10" s="49"/>
      <c r="MF10" s="49">
        <f>SUM(MF11:MF17)</f>
        <v>3172236.3600000003</v>
      </c>
      <c r="MG10" s="49"/>
      <c r="MH10" s="49">
        <f t="shared" ref="MH10:MH17" si="16">SUM(LX10:MF10)</f>
        <v>-122071538.542</v>
      </c>
      <c r="MK10" s="48" t="s">
        <v>149</v>
      </c>
      <c r="ML10" s="49">
        <f>SUM(ML11:ML17)</f>
        <v>-68656858.989999995</v>
      </c>
      <c r="MM10" s="50"/>
      <c r="MN10" s="49">
        <f>SUM(MN11:MN17)</f>
        <v>-13134866.43</v>
      </c>
      <c r="MO10" s="49"/>
      <c r="MP10" s="166">
        <f>SUM(MP11:MP17)</f>
        <v>-2185697.23</v>
      </c>
      <c r="MQ10" s="49"/>
      <c r="MR10" s="49">
        <f>SUM(MR11:MR17)</f>
        <v>-7400165.8114999998</v>
      </c>
      <c r="MS10" s="49"/>
      <c r="MT10" s="49">
        <f>SUM(MT11:MT17)</f>
        <v>2364877.5750000002</v>
      </c>
      <c r="MU10" s="49"/>
      <c r="MV10" s="49">
        <f>SUM(ML10:MT10)</f>
        <v>-89012710.886499986</v>
      </c>
      <c r="MY10" s="48" t="s">
        <v>149</v>
      </c>
      <c r="MZ10" s="49">
        <f>SUM(MZ11:MZ17)</f>
        <v>-59866459.100000001</v>
      </c>
      <c r="NA10" s="50"/>
      <c r="NB10" s="49">
        <f>SUM(NB11:NB17)</f>
        <v>-8118970.9499999993</v>
      </c>
      <c r="NC10" s="49"/>
      <c r="ND10" s="157">
        <f>SUM(ND11:ND17)</f>
        <v>-1198439.9299999997</v>
      </c>
      <c r="NE10" s="49"/>
      <c r="NF10" s="49">
        <f>SUM(NF11:NF17)</f>
        <v>-5071619.8556070803</v>
      </c>
      <c r="NG10" s="49"/>
      <c r="NH10" s="49">
        <f>SUM(NH11:NH17)</f>
        <v>1532063.4700000002</v>
      </c>
      <c r="NI10" s="49"/>
      <c r="NJ10" s="49">
        <f>SUM(MZ10:NH10)</f>
        <v>-72723426.365607068</v>
      </c>
      <c r="NL10" s="48" t="s">
        <v>149</v>
      </c>
      <c r="NM10" s="49">
        <f>SUM(NM11:NM17)</f>
        <v>-48948377.650000006</v>
      </c>
      <c r="NN10" s="50"/>
      <c r="NO10" s="49">
        <f>SUM(NO11:NO17)</f>
        <v>-4536658.33</v>
      </c>
      <c r="NP10" s="49"/>
      <c r="NQ10" s="157">
        <f>SUM(NQ11:NQ17)</f>
        <v>-684638.23</v>
      </c>
      <c r="NR10" s="49"/>
      <c r="NS10" s="49">
        <f>SUM(NS11:NS17)</f>
        <v>-2162666.6251070802</v>
      </c>
      <c r="NT10" s="49"/>
      <c r="NU10" s="49">
        <f>SUM(NU11:NU17)</f>
        <v>821344.93499999959</v>
      </c>
      <c r="NV10" s="49"/>
      <c r="NW10" s="49">
        <f t="shared" ref="NW10:NW17" si="17">SUM(NM10:NU10)</f>
        <v>-55510995.900107078</v>
      </c>
      <c r="NY10" s="48" t="s">
        <v>149</v>
      </c>
      <c r="NZ10" s="49">
        <f>SUM(NZ11:NZ17)</f>
        <v>-66460775.200000003</v>
      </c>
      <c r="OA10" s="50"/>
      <c r="OB10" s="49">
        <f>SUM(OB11:OB17)</f>
        <v>-27405381.16</v>
      </c>
      <c r="OC10" s="49"/>
      <c r="OD10" s="157">
        <f>SUM(OD11:OD17)</f>
        <v>-3232677.0500000007</v>
      </c>
      <c r="OE10" s="49"/>
      <c r="OF10" s="49">
        <f>SUM(OF11:OF17)</f>
        <v>-4109432.4902333347</v>
      </c>
      <c r="OG10" s="49"/>
      <c r="OH10" s="49">
        <f>SUM(OH11:OH17)</f>
        <v>7516295.842166678</v>
      </c>
      <c r="OI10" s="49"/>
      <c r="OJ10" s="49">
        <f t="shared" ref="OJ10:OJ17" si="18">SUM(NZ10:OH10)</f>
        <v>-93691970.058066651</v>
      </c>
      <c r="OK10" s="65"/>
      <c r="OL10" s="48" t="s">
        <v>149</v>
      </c>
      <c r="OM10" s="49">
        <f>SUM(OM11:OM17)</f>
        <v>-50411403.300000004</v>
      </c>
      <c r="ON10" s="50"/>
      <c r="OO10" s="49">
        <f>SUM(OO11:OO17)</f>
        <v>-23692073.919999994</v>
      </c>
      <c r="OP10" s="49"/>
      <c r="OQ10" s="131">
        <f>SUM(OQ11:OQ17)</f>
        <v>0</v>
      </c>
      <c r="OR10" s="49"/>
      <c r="OS10" s="49">
        <f>SUM(OS11:OS17)</f>
        <v>-342307.8797333315</v>
      </c>
      <c r="OT10" s="49"/>
      <c r="OU10" s="49">
        <f>SUM(OU11:OU17)</f>
        <v>7509283.5347083332</v>
      </c>
      <c r="OV10" s="49"/>
      <c r="OW10" s="49">
        <f t="shared" ref="OW10:OW17" si="19">SUM(OM10:OU10)</f>
        <v>-66936501.565024987</v>
      </c>
      <c r="OX10" s="65"/>
      <c r="OY10" s="48" t="s">
        <v>149</v>
      </c>
      <c r="OZ10" s="49">
        <f>SUM(OZ11:OZ17)</f>
        <v>-44735651.740000002</v>
      </c>
      <c r="PA10" s="50"/>
      <c r="PB10" s="49">
        <f>SUM(PB11:PB17)</f>
        <v>-18874562.060000002</v>
      </c>
      <c r="PC10" s="49"/>
      <c r="PD10" s="131">
        <f>SUM(PD11:PD17)</f>
        <v>0</v>
      </c>
      <c r="PE10" s="49"/>
      <c r="PF10" s="49">
        <f>SUM(PF11:PF17)</f>
        <v>-1113367.3603333333</v>
      </c>
      <c r="PG10" s="49"/>
      <c r="PH10" s="49">
        <f>SUM(PH11:PH17)</f>
        <v>6270793.0128333326</v>
      </c>
      <c r="PI10" s="49"/>
      <c r="PJ10" s="49">
        <f t="shared" ref="PJ10:PJ17" si="20">SUM(OZ10:PH10)</f>
        <v>-58452788.147500001</v>
      </c>
      <c r="PK10" s="65"/>
      <c r="PL10" s="48" t="s">
        <v>149</v>
      </c>
      <c r="PM10" s="49">
        <f>SUM(PM11:PM17)</f>
        <v>-40953103.859999999</v>
      </c>
      <c r="PN10" s="50"/>
      <c r="PO10" s="49">
        <f>SUM(PO11:PO17)</f>
        <v>-15118727.800000001</v>
      </c>
      <c r="PP10" s="49"/>
      <c r="PQ10" s="131">
        <f>SUM(PQ11:PQ17)</f>
        <v>0</v>
      </c>
      <c r="PR10" s="49"/>
      <c r="PS10" s="49">
        <f>SUM(PS11:PS17)</f>
        <v>-6694019.4499999993</v>
      </c>
      <c r="PT10" s="49"/>
      <c r="PU10" s="49">
        <f>SUM(PU11:PU17)</f>
        <v>5265694.1602083342</v>
      </c>
      <c r="PV10" s="49"/>
      <c r="PW10" s="49">
        <f t="shared" ref="PW10:PW17" si="21">SUM(PM10:PU10)</f>
        <v>-57500156.949791662</v>
      </c>
      <c r="PX10" s="65"/>
      <c r="PY10" s="48" t="s">
        <v>149</v>
      </c>
      <c r="PZ10" s="49">
        <f>SUM(PZ11:PZ17)</f>
        <v>-13226987.489999998</v>
      </c>
      <c r="QA10" s="50"/>
      <c r="QB10" s="49">
        <f>SUM(QB11:QB17)</f>
        <v>-10905745.07</v>
      </c>
      <c r="QC10" s="49"/>
      <c r="QD10" s="49">
        <f>SUM(QD11:QD17)</f>
        <v>-2881324.6899999995</v>
      </c>
      <c r="QE10" s="49"/>
      <c r="QF10" s="49">
        <f>SUM(QF11:QF17)</f>
        <v>-4674857.3499999996</v>
      </c>
      <c r="QG10" s="49"/>
      <c r="QH10" s="49">
        <f>SUM(QH11:QH17)</f>
        <v>4175820.6460833335</v>
      </c>
      <c r="QI10" s="49"/>
      <c r="QJ10" s="49">
        <f t="shared" ref="QJ10:QJ17" si="22">SUM(PZ10:QH10)</f>
        <v>-27513093.953916669</v>
      </c>
      <c r="QK10" s="65"/>
      <c r="QL10" s="48" t="s">
        <v>149</v>
      </c>
      <c r="QM10" s="49">
        <f>SUM(QM11:QM17)</f>
        <v>-7637715.6799999997</v>
      </c>
      <c r="QN10" s="50"/>
      <c r="QO10" s="49">
        <f>SUM(QO11:QO17)</f>
        <v>-7124540.25</v>
      </c>
      <c r="QP10" s="49"/>
      <c r="QQ10" s="49">
        <f>SUM(QQ11:QQ17)</f>
        <v>-1858873.49</v>
      </c>
      <c r="QR10" s="49"/>
      <c r="QS10" s="49">
        <f>SUM(QS11:QS17)</f>
        <v>-3177991.8299999996</v>
      </c>
      <c r="QT10" s="49"/>
      <c r="QU10" s="49">
        <f>SUM(QU11:QU17)</f>
        <v>3146634.94</v>
      </c>
      <c r="QV10" s="49"/>
      <c r="QW10" s="49">
        <f t="shared" ref="QW10:QW17" si="23">SUM(QM10:QU10)</f>
        <v>-16652486.310000001</v>
      </c>
      <c r="QX10" s="65"/>
      <c r="QY10" s="48" t="s">
        <v>149</v>
      </c>
      <c r="QZ10" s="49">
        <f>SUM(QZ11:QZ17)</f>
        <v>-3436179.06</v>
      </c>
      <c r="RA10" s="50"/>
      <c r="RB10" s="49">
        <f>SUM(RB11:RB17)</f>
        <v>-2564919.2400000002</v>
      </c>
      <c r="RC10" s="49"/>
      <c r="RD10" s="49">
        <f>SUM(RD11:RD17)</f>
        <v>-922635.34</v>
      </c>
      <c r="RE10" s="49"/>
      <c r="RF10" s="49">
        <f>SUM(RF11:RF17)</f>
        <v>-1389476.6999999997</v>
      </c>
      <c r="RG10" s="49"/>
      <c r="RH10" s="49">
        <f>SUM(RH11:RH17)</f>
        <v>793820.73999999918</v>
      </c>
      <c r="RI10" s="49"/>
      <c r="RJ10" s="49">
        <f t="shared" ref="RJ10:RJ17" si="24">SUM(QZ10:RH10)</f>
        <v>-7519389.6000000006</v>
      </c>
      <c r="RK10" s="65"/>
      <c r="RL10" s="48" t="s">
        <v>149</v>
      </c>
      <c r="RM10" s="49">
        <f>SUM(RM11:RM17)</f>
        <v>-29752037.359999999</v>
      </c>
      <c r="RN10" s="50"/>
      <c r="RO10" s="49">
        <f>SUM(RO11:RO17)</f>
        <v>-14360749.429999998</v>
      </c>
      <c r="RP10" s="49"/>
      <c r="RQ10" s="49">
        <f>SUM(RQ11:RQ17)</f>
        <v>-3896408.74</v>
      </c>
      <c r="RR10" s="49"/>
      <c r="RS10" s="49">
        <f>SUM(RS11:RS17)</f>
        <v>-6237152.6499999994</v>
      </c>
      <c r="RT10" s="49"/>
      <c r="RU10" s="49">
        <f>SUM(RU11:RU17)</f>
        <v>6941287.7299999986</v>
      </c>
      <c r="RV10" s="49"/>
      <c r="RW10" s="49">
        <f t="shared" ref="RW10:RW17" si="25">SUM(RM10:RU10)</f>
        <v>-47305060.450000003</v>
      </c>
      <c r="RX10" s="65"/>
      <c r="RY10" s="48" t="s">
        <v>149</v>
      </c>
      <c r="RZ10" s="49">
        <f>SUM(RZ11:RZ17)</f>
        <v>-21180656.199999999</v>
      </c>
      <c r="SA10" s="50"/>
      <c r="SB10" s="49">
        <f>SUM(SB11:SB17)</f>
        <v>-8316440.6499999985</v>
      </c>
      <c r="SC10" s="49"/>
      <c r="SD10" s="49">
        <f>SUM(SD11:SD17)</f>
        <v>-2842227.1</v>
      </c>
      <c r="SE10" s="49"/>
      <c r="SF10" s="49">
        <f>SUM(SF11:SF17)</f>
        <v>-5204542.79</v>
      </c>
      <c r="SG10" s="49"/>
      <c r="SH10" s="49">
        <f>SUM(SH11:SH17)</f>
        <v>3313200.3800000004</v>
      </c>
      <c r="SI10" s="49"/>
      <c r="SJ10" s="49">
        <f t="shared" ref="SJ10:SJ17" si="26">SUM(RZ10:SH10)</f>
        <v>-34230666.359999999</v>
      </c>
      <c r="SK10" s="65"/>
      <c r="SL10" s="48" t="s">
        <v>149</v>
      </c>
      <c r="SM10" s="49">
        <f>SUM(SM11:SM17)</f>
        <v>-11844504.710000001</v>
      </c>
      <c r="SN10" s="50"/>
      <c r="SO10" s="49">
        <f>SUM(SO11:SO17)</f>
        <v>-5477909.7100000009</v>
      </c>
      <c r="SP10" s="49"/>
      <c r="SQ10" s="49">
        <f>SUM(SQ11:SQ17)</f>
        <v>-1933665.87</v>
      </c>
      <c r="SR10" s="49"/>
      <c r="SS10" s="49">
        <f>SUM(SS11:SS17)</f>
        <v>-3295824.4400000004</v>
      </c>
      <c r="ST10" s="49"/>
      <c r="SU10" s="49">
        <f>SUM(SU11:SU17)</f>
        <v>2424010.39</v>
      </c>
      <c r="SV10" s="43"/>
      <c r="SW10" s="49">
        <f t="shared" ref="SW10:SW17" si="27">SUM(SM10:SU10)</f>
        <v>-20127894.340000004</v>
      </c>
      <c r="SX10" s="65"/>
      <c r="SY10" s="48" t="s">
        <v>149</v>
      </c>
      <c r="SZ10" s="49">
        <f>SUM(SZ11:SZ17)</f>
        <v>-3833105.3600000003</v>
      </c>
      <c r="TA10" s="50"/>
      <c r="TB10" s="49">
        <f>SUM(TB11:TB17)</f>
        <v>-2331676.35</v>
      </c>
      <c r="TC10" s="49"/>
      <c r="TD10" s="49">
        <f>SUM(TD11:TD17)</f>
        <v>-1004460.6900000001</v>
      </c>
      <c r="TE10" s="49"/>
      <c r="TF10" s="49">
        <f>SUM(TF11:TF17)</f>
        <v>-1577570.4999999998</v>
      </c>
      <c r="TG10" s="49"/>
      <c r="TH10" s="49">
        <f>SUM(TH11:TH17)</f>
        <v>891678.28999999992</v>
      </c>
      <c r="TI10" s="43"/>
      <c r="TJ10" s="49">
        <f t="shared" ref="TJ10:TJ17" si="28">SUM(SZ10:TH10)</f>
        <v>-7855134.6100000003</v>
      </c>
      <c r="TK10" s="65"/>
      <c r="TL10" s="48" t="s">
        <v>149</v>
      </c>
      <c r="TM10" s="49">
        <f>SUM(TM11:TM17)</f>
        <v>-64531563.640000001</v>
      </c>
      <c r="TN10" s="50"/>
      <c r="TO10" s="49">
        <f>SUM(TO11:TO17)</f>
        <v>-12456000.600000001</v>
      </c>
      <c r="TP10" s="49"/>
      <c r="TQ10" s="49">
        <f>SUM(TQ11:TQ17)</f>
        <v>-4535529.3999999994</v>
      </c>
      <c r="TR10" s="49">
        <f>SUM(TR11:TR17)</f>
        <v>0</v>
      </c>
      <c r="TS10" s="49">
        <f>SUM(TS11:TS17)</f>
        <v>-9006327.02999999</v>
      </c>
      <c r="TT10" s="49"/>
      <c r="TU10" s="49">
        <f>SUM(TU11:TU17)</f>
        <v>6361779.650000005</v>
      </c>
      <c r="TV10" s="49"/>
      <c r="TW10" s="49">
        <f t="shared" ref="TW10:TW17" si="29">SUM(TM10:TU10)</f>
        <v>-84167641.019999996</v>
      </c>
      <c r="TX10" s="65"/>
      <c r="TY10" s="48" t="s">
        <v>149</v>
      </c>
      <c r="TZ10" s="49">
        <f>SUM(TZ11:TZ17)</f>
        <v>-44688948.549999997</v>
      </c>
      <c r="UA10" s="50"/>
      <c r="UB10" s="49">
        <f>SUM(UB11:UB17)</f>
        <v>-8316110.2999999998</v>
      </c>
      <c r="UC10" s="49"/>
      <c r="UD10" s="49">
        <f>SUM(UD11:UD17)</f>
        <v>-3264331.8200000003</v>
      </c>
      <c r="UE10" s="49">
        <f>SUM(UE11:UE17)</f>
        <v>0</v>
      </c>
      <c r="UF10" s="49">
        <f>SUM(UF11:UF17)</f>
        <v>-7064885.4699999969</v>
      </c>
      <c r="UG10" s="49"/>
      <c r="UH10" s="49">
        <f>SUM(UH11:UH17)</f>
        <v>4093792.0800000038</v>
      </c>
      <c r="UI10" s="49"/>
      <c r="UJ10" s="49">
        <f t="shared" ref="UJ10:UJ17" si="30">SUM(TZ10:UH10)</f>
        <v>-59240484.059999987</v>
      </c>
      <c r="UK10" s="65"/>
      <c r="UL10" s="65" t="s">
        <v>149</v>
      </c>
      <c r="UM10" s="49">
        <v>-10598189.4</v>
      </c>
      <c r="UN10" s="50"/>
      <c r="UO10" s="49">
        <v>-5685500.21</v>
      </c>
      <c r="UP10" s="49"/>
      <c r="UQ10" s="49">
        <v>-1863582.81</v>
      </c>
      <c r="UR10" s="49"/>
      <c r="US10" s="49">
        <v>-4734894.21</v>
      </c>
      <c r="UT10" s="49"/>
      <c r="UU10" s="49">
        <v>2391429.2799999998</v>
      </c>
      <c r="UV10" s="43"/>
      <c r="UW10" s="49">
        <v>-20490737.350000001</v>
      </c>
      <c r="UX10" s="65"/>
      <c r="UY10" s="65" t="s">
        <v>149</v>
      </c>
      <c r="UZ10" s="49">
        <f>-6024.16744*1000</f>
        <v>-6024167.4400000004</v>
      </c>
      <c r="VA10" s="50"/>
      <c r="VB10" s="49">
        <f>-2809.19677*1000</f>
        <v>-2809196.77</v>
      </c>
      <c r="VC10" s="49"/>
      <c r="VD10" s="49">
        <f>-914.48935*1000</f>
        <v>-914489.35</v>
      </c>
      <c r="VE10" s="49"/>
      <c r="VF10" s="49">
        <f>-2305.0016*1000</f>
        <v>-2305001.6</v>
      </c>
      <c r="VG10" s="49"/>
      <c r="VH10" s="49">
        <f>1162.08169*1000</f>
        <v>1162081.69</v>
      </c>
      <c r="VI10" s="43"/>
      <c r="VJ10" s="49">
        <f>-10890.77347*1000</f>
        <v>-10890773.470000001</v>
      </c>
      <c r="VK10" s="65"/>
      <c r="VL10" s="48" t="s">
        <v>149</v>
      </c>
      <c r="VM10" s="49">
        <f>SUM(VM11:VM17)</f>
        <v>-52217010.289999992</v>
      </c>
      <c r="VN10" s="50"/>
      <c r="VO10" s="49">
        <f>SUM(VO11:VO17)</f>
        <v>-12214078.01</v>
      </c>
      <c r="VP10" s="49"/>
      <c r="VQ10" s="49">
        <f>SUM(VQ11:VQ17)</f>
        <v>-4179912.33</v>
      </c>
      <c r="VR10" s="49"/>
      <c r="VS10" s="49">
        <f>SUM(VS11:VS17)</f>
        <v>-9536169.9100000001</v>
      </c>
      <c r="VT10" s="49"/>
      <c r="VU10" s="49">
        <f>SUM(VU11:VU17)</f>
        <v>4853399.5400000028</v>
      </c>
      <c r="VV10" s="49"/>
      <c r="VW10" s="49">
        <f t="shared" ref="VW10:VW17" si="31">SUM(VM10:VU10)</f>
        <v>-73293770.999999985</v>
      </c>
      <c r="VX10" s="65"/>
      <c r="VY10" s="48" t="s">
        <v>149</v>
      </c>
      <c r="VZ10" s="49">
        <f>SUM(VZ11:VZ17)</f>
        <v>-30898360.009999998</v>
      </c>
      <c r="WA10" s="50"/>
      <c r="WB10" s="49">
        <f>SUM(WB11:WB17)</f>
        <v>-9211451.0520599335</v>
      </c>
      <c r="WC10" s="49"/>
      <c r="WD10" s="49">
        <f>SUM(WD11:WD17)</f>
        <v>-3165318</v>
      </c>
      <c r="WE10" s="49">
        <f>SUM(WE11:WE17)</f>
        <v>0</v>
      </c>
      <c r="WF10" s="49">
        <f>SUM(WF11:WF17)</f>
        <v>-5918169.6500000004</v>
      </c>
      <c r="WG10" s="49"/>
      <c r="WH10" s="49">
        <f>SUM(WH11:WH17)</f>
        <v>3733356.65</v>
      </c>
      <c r="WI10" s="49"/>
      <c r="WJ10" s="49">
        <f t="shared" ref="WJ10:WJ17" si="32">SUM(VZ10:WH10)</f>
        <v>-45459942.062059931</v>
      </c>
      <c r="WK10" s="65"/>
      <c r="WL10" s="65" t="s">
        <v>149</v>
      </c>
      <c r="WM10" s="49">
        <v>-16146311.9670662</v>
      </c>
      <c r="WN10" s="50"/>
      <c r="WO10" s="49">
        <v>-6335083.8499999996</v>
      </c>
      <c r="WP10" s="49"/>
      <c r="WQ10" s="49">
        <v>-2010841.26</v>
      </c>
      <c r="WR10" s="49"/>
      <c r="WS10" s="49">
        <v>-4129027.34</v>
      </c>
      <c r="WT10" s="49"/>
      <c r="WU10" s="49">
        <v>2543853.9900000002</v>
      </c>
      <c r="WV10" s="43"/>
      <c r="WW10" s="49">
        <v>26077410.427066207</v>
      </c>
      <c r="WX10" s="49"/>
      <c r="WY10" s="65" t="s">
        <v>149</v>
      </c>
      <c r="WZ10" s="49">
        <f>-4286.9516*1000</f>
        <v>-4286951.6000000006</v>
      </c>
      <c r="XA10" s="50"/>
      <c r="XB10" s="49">
        <f>-2939.96235*1000</f>
        <v>-2939962.3499999996</v>
      </c>
      <c r="XC10" s="49"/>
      <c r="XD10" s="49">
        <f>-977.27302*1000</f>
        <v>-977273.02</v>
      </c>
      <c r="XE10" s="49">
        <v>0</v>
      </c>
      <c r="XF10" s="49">
        <f>-1943.6473135331*1000</f>
        <v>-1943647.3135331001</v>
      </c>
      <c r="XG10" s="49"/>
      <c r="XH10" s="49">
        <f>1584.85475*1000</f>
        <v>1584854.75</v>
      </c>
      <c r="XI10" s="43"/>
      <c r="XJ10" s="49">
        <f>-8562.9795335331*1000</f>
        <v>-8562979.5335331</v>
      </c>
      <c r="XK10" s="49"/>
      <c r="XL10" s="65" t="s">
        <v>149</v>
      </c>
      <c r="XM10" s="49">
        <f>SUM(XM11:XM17)</f>
        <v>-46054032.030000001</v>
      </c>
      <c r="XN10" s="50"/>
      <c r="XO10" s="49">
        <f>SUM(XO11:XO17)</f>
        <v>-11460017.679999998</v>
      </c>
      <c r="XP10" s="49"/>
      <c r="XQ10" s="49">
        <f>SUM(XQ11:XQ17)</f>
        <v>-5309885.12</v>
      </c>
      <c r="XR10" s="49"/>
      <c r="XS10" s="49">
        <f>SUM(XS11:XS17)</f>
        <v>-7921942.0299584605</v>
      </c>
      <c r="XT10" s="49">
        <f>SUM(XT11:XT17)</f>
        <v>0</v>
      </c>
      <c r="XU10" s="49">
        <f>SUM(XU11:XU17)</f>
        <v>3717603.7065045964</v>
      </c>
      <c r="XV10" s="43"/>
      <c r="XW10" s="49">
        <f t="shared" ref="XW10:XW17" si="33">SUM(XM10:XU10)</f>
        <v>-67028273.153453857</v>
      </c>
      <c r="XX10" s="49"/>
      <c r="XY10" s="48" t="s">
        <v>149</v>
      </c>
      <c r="XZ10" s="49">
        <f>SUM(XZ11:XZ17)</f>
        <v>-27643710.150000002</v>
      </c>
      <c r="YA10" s="50"/>
      <c r="YB10" s="49">
        <f>SUM(YB11:YB17)</f>
        <v>-8454958.3999999985</v>
      </c>
      <c r="YC10" s="49"/>
      <c r="YD10" s="49">
        <f>SUM(YD11:YD17)</f>
        <v>-3976316</v>
      </c>
      <c r="YE10" s="49"/>
      <c r="YF10" s="49">
        <f>SUM(YF11:YF17)</f>
        <v>-5373870.9269409906</v>
      </c>
      <c r="YG10" s="49">
        <f>SUM(YG11:YG17)</f>
        <v>0</v>
      </c>
      <c r="YH10" s="49">
        <f>SUM(YH11:YH17)</f>
        <v>3988162.46</v>
      </c>
      <c r="YI10" s="43"/>
      <c r="YJ10" s="49">
        <f t="shared" ref="YJ10:YJ17" si="34">SUM(XZ10:YH10)</f>
        <v>-41460693.016940989</v>
      </c>
    </row>
    <row r="11" spans="1:660">
      <c r="A11" s="148" t="s">
        <v>86</v>
      </c>
      <c r="B11" s="43"/>
      <c r="C11" s="195"/>
      <c r="E11" s="195"/>
      <c r="F11" s="43"/>
      <c r="G11" s="195"/>
      <c r="I11" s="195"/>
      <c r="K11" s="195"/>
      <c r="L11" s="195"/>
      <c r="O11" s="148" t="s">
        <v>86</v>
      </c>
      <c r="P11" s="43"/>
      <c r="Q11" s="195"/>
      <c r="S11" s="195"/>
      <c r="T11" s="43"/>
      <c r="U11" s="195"/>
      <c r="W11" s="195"/>
      <c r="Y11" s="195"/>
      <c r="Z11" s="195"/>
      <c r="AC11" s="148" t="s">
        <v>86</v>
      </c>
      <c r="AD11" s="43"/>
      <c r="AE11" s="195"/>
      <c r="AG11" s="195"/>
      <c r="AH11" s="43"/>
      <c r="AI11" s="195"/>
      <c r="AK11" s="195"/>
      <c r="AM11" s="195"/>
      <c r="AN11" s="195"/>
      <c r="AQ11" s="148" t="s">
        <v>86</v>
      </c>
      <c r="AR11" s="43">
        <v>-8529835.6392470002</v>
      </c>
      <c r="AS11" s="194"/>
      <c r="AT11" s="43">
        <v>-5623880.9762128126</v>
      </c>
      <c r="AU11" s="164"/>
      <c r="AV11" s="43">
        <v>0</v>
      </c>
      <c r="AW11" s="164"/>
      <c r="AX11" s="43">
        <v>-305794.76</v>
      </c>
      <c r="AY11" s="164"/>
      <c r="AZ11" s="43">
        <v>894644.75</v>
      </c>
      <c r="BA11" s="195"/>
      <c r="BB11" s="195">
        <f t="shared" si="0"/>
        <v>-13564866.625459813</v>
      </c>
      <c r="BE11" s="148" t="s">
        <v>86</v>
      </c>
      <c r="BF11" s="43">
        <v>-30361969.012389999</v>
      </c>
      <c r="BG11" s="195"/>
      <c r="BH11" s="43">
        <v>-20446399.011784613</v>
      </c>
      <c r="BI11" s="195"/>
      <c r="BJ11" s="43">
        <v>0</v>
      </c>
      <c r="BK11" s="195"/>
      <c r="BL11" s="43">
        <v>-1395181.06</v>
      </c>
      <c r="BM11" s="195"/>
      <c r="BN11" s="43">
        <v>3340496.1849166672</v>
      </c>
      <c r="BO11" s="195"/>
      <c r="BP11" s="195">
        <f t="shared" si="1"/>
        <v>-48863052.89925795</v>
      </c>
      <c r="BS11" s="148" t="s">
        <v>86</v>
      </c>
      <c r="BT11" s="43">
        <v>-22256577.894570556</v>
      </c>
      <c r="BU11" s="195"/>
      <c r="BV11" s="43">
        <v>-14969775.712042382</v>
      </c>
      <c r="BW11" s="195"/>
      <c r="BX11" s="43">
        <v>0</v>
      </c>
      <c r="BY11" s="195"/>
      <c r="BZ11" s="43">
        <v>-1075102.44</v>
      </c>
      <c r="CA11" s="195"/>
      <c r="CB11" s="43">
        <v>2448664.1</v>
      </c>
      <c r="CC11" s="195"/>
      <c r="CD11" s="195">
        <f t="shared" si="2"/>
        <v>-35852791.946612932</v>
      </c>
      <c r="CG11" s="148" t="s">
        <v>86</v>
      </c>
      <c r="CH11" s="43">
        <v>-14631029.766927999</v>
      </c>
      <c r="CI11" s="195"/>
      <c r="CJ11" s="43">
        <v>-9956603.6255128235</v>
      </c>
      <c r="CK11" s="195"/>
      <c r="CL11" s="43">
        <v>0</v>
      </c>
      <c r="CM11" s="195"/>
      <c r="CN11" s="43">
        <v>-781838.55</v>
      </c>
      <c r="CO11" s="195"/>
      <c r="CP11" s="43">
        <v>1598674.96</v>
      </c>
      <c r="CQ11" s="195"/>
      <c r="CR11" s="195">
        <f t="shared" si="3"/>
        <v>-23770796.982440822</v>
      </c>
      <c r="CU11" s="148" t="s">
        <v>86</v>
      </c>
      <c r="CV11" s="43">
        <v>-6642677.7900859993</v>
      </c>
      <c r="CW11" s="195"/>
      <c r="CX11" s="43">
        <v>-4713120.5078931879</v>
      </c>
      <c r="CY11" s="195"/>
      <c r="CZ11" s="43">
        <v>0</v>
      </c>
      <c r="DA11" s="195"/>
      <c r="DB11" s="43">
        <v>-471033.61</v>
      </c>
      <c r="DC11" s="195"/>
      <c r="DD11" s="43">
        <v>786496.08000000007</v>
      </c>
      <c r="DE11" s="195"/>
      <c r="DF11" s="195">
        <f t="shared" si="4"/>
        <v>-11040335.827979187</v>
      </c>
      <c r="DI11" s="148" t="s">
        <v>86</v>
      </c>
      <c r="DJ11" s="164">
        <v>-20714141.159222331</v>
      </c>
      <c r="DK11" s="195"/>
      <c r="DL11" s="164">
        <v>-18582379.955368586</v>
      </c>
      <c r="DM11" s="195"/>
      <c r="DN11" s="164">
        <v>0</v>
      </c>
      <c r="DO11" s="195"/>
      <c r="DP11" s="164">
        <v>-1367787.63</v>
      </c>
      <c r="DQ11" s="195"/>
      <c r="DR11" s="164">
        <v>2993430.6245909194</v>
      </c>
      <c r="DS11" s="195"/>
      <c r="DT11" s="195">
        <f t="shared" si="5"/>
        <v>-37670878.119999997</v>
      </c>
      <c r="DW11" s="148" t="s">
        <v>86</v>
      </c>
      <c r="DX11" s="43">
        <v>-15060909.152688779</v>
      </c>
      <c r="DY11" s="149"/>
      <c r="DZ11" s="43">
        <v>-13878975.775547389</v>
      </c>
      <c r="EA11" s="149"/>
      <c r="EB11" s="43">
        <v>0</v>
      </c>
      <c r="EC11" s="149"/>
      <c r="ED11" s="43">
        <v>-1017469.74</v>
      </c>
      <c r="EE11" s="149"/>
      <c r="EF11" s="43">
        <v>2173320.7657499998</v>
      </c>
      <c r="EG11" s="149"/>
      <c r="EH11" s="149">
        <f t="shared" ref="EH11:EH17" si="35">SUM(DX11:EF11)</f>
        <v>-27784033.902486168</v>
      </c>
      <c r="EK11" s="148" t="s">
        <v>86</v>
      </c>
      <c r="EL11" s="43">
        <v>-10065196.728850335</v>
      </c>
      <c r="EM11" s="149"/>
      <c r="EN11" s="43">
        <v>-9365683.8785488233</v>
      </c>
      <c r="EO11" s="149"/>
      <c r="EP11" s="43">
        <v>0</v>
      </c>
      <c r="EQ11" s="149"/>
      <c r="ER11" s="43">
        <v>-667199.63</v>
      </c>
      <c r="ES11" s="149"/>
      <c r="ET11" s="43">
        <v>1440780.7004999998</v>
      </c>
      <c r="EU11" s="149"/>
      <c r="EV11" s="149">
        <f t="shared" si="6"/>
        <v>-18657299.536899157</v>
      </c>
      <c r="EY11" s="148" t="s">
        <v>86</v>
      </c>
      <c r="EZ11" s="43">
        <v>-3937027.4353866666</v>
      </c>
      <c r="FA11" s="149"/>
      <c r="FB11" s="43">
        <v>-4617529.6964099538</v>
      </c>
      <c r="FC11" s="149"/>
      <c r="FD11" s="43">
        <v>0</v>
      </c>
      <c r="FE11" s="149"/>
      <c r="FF11" s="43">
        <v>-317223.04000000004</v>
      </c>
      <c r="FG11" s="149"/>
      <c r="FH11" s="43">
        <v>682111.89525000006</v>
      </c>
      <c r="FI11" s="149"/>
      <c r="FJ11" s="149">
        <f t="shared" si="7"/>
        <v>-8189668.2765466198</v>
      </c>
      <c r="FM11" s="148" t="s">
        <v>86</v>
      </c>
      <c r="FN11" s="43">
        <v>-11702801.371681999</v>
      </c>
      <c r="FO11" s="149"/>
      <c r="FP11" s="43">
        <v>-17485357.994719513</v>
      </c>
      <c r="FQ11" s="149"/>
      <c r="FR11" s="43">
        <v>0</v>
      </c>
      <c r="FS11" s="149"/>
      <c r="FT11" s="43">
        <v>-1191251.33</v>
      </c>
      <c r="FU11" s="149"/>
      <c r="FV11" s="43">
        <v>2712038.9729999998</v>
      </c>
      <c r="FW11" s="149"/>
      <c r="FX11" s="149">
        <f t="shared" si="8"/>
        <v>-27667371.723401513</v>
      </c>
      <c r="GA11" s="148" t="s">
        <v>86</v>
      </c>
      <c r="GB11" s="43">
        <v>-9127919.0766819995</v>
      </c>
      <c r="GC11" s="149"/>
      <c r="GD11" s="43">
        <v>-12582265.659999998</v>
      </c>
      <c r="GE11" s="149"/>
      <c r="GF11" s="43">
        <v>0</v>
      </c>
      <c r="GG11" s="149"/>
      <c r="GH11" s="43">
        <v>-851995.46</v>
      </c>
      <c r="GI11" s="149"/>
      <c r="GJ11" s="43">
        <v>1681647.0855040522</v>
      </c>
      <c r="GK11" s="149"/>
      <c r="GL11" s="149">
        <f t="shared" ref="GL11:GL17" si="36">SUM(GB11:GJ11)</f>
        <v>-20880533.111177947</v>
      </c>
      <c r="GO11" s="148" t="s">
        <v>86</v>
      </c>
      <c r="GP11" s="43">
        <v>-5910838.2541570002</v>
      </c>
      <c r="GQ11" s="149"/>
      <c r="GR11" s="43">
        <v>-8335943.5014999993</v>
      </c>
      <c r="GS11" s="149"/>
      <c r="GT11" s="43">
        <v>0</v>
      </c>
      <c r="GU11" s="149"/>
      <c r="GV11" s="156">
        <v>-573904.92000000004</v>
      </c>
      <c r="GW11" s="149"/>
      <c r="GX11" s="43">
        <v>1136115.6486479789</v>
      </c>
      <c r="GY11" s="149"/>
      <c r="GZ11" s="149">
        <f t="shared" si="9"/>
        <v>-13684571.02700902</v>
      </c>
      <c r="HC11" s="148" t="s">
        <v>86</v>
      </c>
      <c r="HD11" s="43">
        <v>-2966651.17</v>
      </c>
      <c r="HE11" s="149"/>
      <c r="HF11" s="43">
        <v>-3881233.4900000007</v>
      </c>
      <c r="HG11" s="149"/>
      <c r="HH11" s="43">
        <v>0</v>
      </c>
      <c r="HI11" s="149"/>
      <c r="HJ11" s="43">
        <v>-273075.83</v>
      </c>
      <c r="HK11" s="149"/>
      <c r="HL11" s="43">
        <v>513885.41311476834</v>
      </c>
      <c r="HM11" s="149"/>
      <c r="HN11" s="149">
        <f t="shared" si="10"/>
        <v>-6607075.0768852318</v>
      </c>
      <c r="HQ11" s="148" t="s">
        <v>86</v>
      </c>
      <c r="HR11" s="43">
        <v>-8892821.7400000002</v>
      </c>
      <c r="HS11" s="149"/>
      <c r="HT11" s="43">
        <v>-15121617.68</v>
      </c>
      <c r="HU11" s="149"/>
      <c r="HV11" s="43">
        <v>0</v>
      </c>
      <c r="HW11" s="149"/>
      <c r="HX11" s="43">
        <v>-1300435.1800000002</v>
      </c>
      <c r="HY11" s="149"/>
      <c r="HZ11" s="43">
        <v>2127389.6500000004</v>
      </c>
      <c r="IA11" s="149"/>
      <c r="IB11" s="149">
        <f t="shared" si="11"/>
        <v>-23187484.950000003</v>
      </c>
      <c r="IE11" s="148" t="s">
        <v>86</v>
      </c>
      <c r="IF11" s="43">
        <v>-6510053.6600000001</v>
      </c>
      <c r="IG11" s="149"/>
      <c r="IH11" s="43">
        <v>-11303427.240000002</v>
      </c>
      <c r="II11" s="149"/>
      <c r="IJ11" s="43">
        <v>0</v>
      </c>
      <c r="IK11" s="149"/>
      <c r="IL11" s="43">
        <v>-1006781.01</v>
      </c>
      <c r="IM11" s="149"/>
      <c r="IN11" s="43">
        <v>1623278.8324390757</v>
      </c>
      <c r="IO11" s="149"/>
      <c r="IP11" s="149">
        <f t="shared" ref="IP11:IP17" si="37">SUM(IF11:IN11)</f>
        <v>-17196983.077560928</v>
      </c>
      <c r="IS11" s="148" t="s">
        <v>86</v>
      </c>
      <c r="IT11" s="43">
        <v>-4644621.4000000004</v>
      </c>
      <c r="IU11" s="149"/>
      <c r="IV11" s="43">
        <v>-7416304.3900000015</v>
      </c>
      <c r="IW11" s="149"/>
      <c r="IX11" s="43">
        <v>0</v>
      </c>
      <c r="IY11" s="149"/>
      <c r="IZ11" s="43">
        <v>-682663</v>
      </c>
      <c r="JA11" s="149"/>
      <c r="JB11" s="43">
        <v>1120458.9341450797</v>
      </c>
      <c r="JC11" s="149"/>
      <c r="JD11" s="149">
        <f t="shared" si="12"/>
        <v>-11623129.855854923</v>
      </c>
      <c r="JG11" s="148" t="s">
        <v>86</v>
      </c>
      <c r="JH11" s="43">
        <v>-2655160.4300000002</v>
      </c>
      <c r="JI11" s="149"/>
      <c r="JJ11" s="43">
        <v>-3868039.93</v>
      </c>
      <c r="JK11" s="149"/>
      <c r="JL11" s="43">
        <v>0</v>
      </c>
      <c r="JM11" s="149"/>
      <c r="JN11" s="43">
        <v>-344887.85</v>
      </c>
      <c r="JO11" s="149"/>
      <c r="JP11" s="43">
        <v>666866.91858654784</v>
      </c>
      <c r="JQ11" s="149"/>
      <c r="JR11" s="149">
        <f t="shared" si="13"/>
        <v>-6201221.2914134525</v>
      </c>
      <c r="JU11" s="148" t="s">
        <v>86</v>
      </c>
      <c r="JV11" s="43">
        <v>-8528600.7100000009</v>
      </c>
      <c r="JW11" s="149"/>
      <c r="JX11" s="43">
        <v>-12984040.259999998</v>
      </c>
      <c r="JY11" s="149"/>
      <c r="JZ11" s="43">
        <v>0</v>
      </c>
      <c r="KA11" s="149"/>
      <c r="KB11" s="43">
        <v>-1429008.29</v>
      </c>
      <c r="KC11" s="149"/>
      <c r="KD11" s="43">
        <v>2591093.8861544053</v>
      </c>
      <c r="KE11" s="149"/>
      <c r="KF11" s="149">
        <f t="shared" si="14"/>
        <v>-20350555.373845592</v>
      </c>
      <c r="KG11" s="150"/>
      <c r="KH11" s="150"/>
      <c r="KI11" s="148" t="s">
        <v>86</v>
      </c>
      <c r="KJ11" s="43">
        <v>-6568340.6699999999</v>
      </c>
      <c r="KK11" s="149"/>
      <c r="KL11" s="43">
        <v>-9581208.2399999984</v>
      </c>
      <c r="KM11" s="149"/>
      <c r="KN11" s="43">
        <v>0</v>
      </c>
      <c r="KO11" s="149"/>
      <c r="KP11" s="43">
        <v>-1108662.92</v>
      </c>
      <c r="KQ11" s="149"/>
      <c r="KR11" s="43">
        <v>2201975.4076768849</v>
      </c>
      <c r="KS11" s="149"/>
      <c r="KT11" s="149">
        <f t="shared" ref="KT11:KT17" si="38">SUM(KJ11:KR11)</f>
        <v>-15056236.422323113</v>
      </c>
      <c r="KU11" s="150"/>
      <c r="KV11" s="150"/>
      <c r="KW11" s="148" t="s">
        <v>86</v>
      </c>
      <c r="KX11" s="43">
        <v>-4543919.63</v>
      </c>
      <c r="KY11" s="149"/>
      <c r="KZ11" s="43">
        <v>-6396111.1399999987</v>
      </c>
      <c r="LA11" s="149"/>
      <c r="LB11" s="43">
        <v>0</v>
      </c>
      <c r="LC11" s="149"/>
      <c r="LD11" s="43">
        <v>-724784.75</v>
      </c>
      <c r="LE11" s="149"/>
      <c r="LF11" s="43">
        <v>1467733.3199149347</v>
      </c>
      <c r="LG11" s="149"/>
      <c r="LH11" s="149">
        <f t="shared" ref="LH11:LH17" si="39">SUM(KX11:LF11)</f>
        <v>-10197082.200085064</v>
      </c>
      <c r="LI11" s="150"/>
      <c r="LJ11" s="148" t="s">
        <v>86</v>
      </c>
      <c r="LK11" s="43">
        <v>-2484122.5399999996</v>
      </c>
      <c r="LL11" s="149"/>
      <c r="LM11" s="43">
        <v>-3057011.3</v>
      </c>
      <c r="LN11" s="149"/>
      <c r="LO11" s="43">
        <v>0</v>
      </c>
      <c r="LQ11" s="43">
        <v>-366625.70999999996</v>
      </c>
      <c r="LS11" s="43">
        <v>737651.36425998749</v>
      </c>
      <c r="LU11" s="43">
        <f t="shared" si="15"/>
        <v>-5170108.1857400127</v>
      </c>
      <c r="LW11" s="148" t="s">
        <v>86</v>
      </c>
      <c r="LX11" s="43">
        <v>-9733131.7100000009</v>
      </c>
      <c r="LY11" s="149"/>
      <c r="LZ11" s="43">
        <v>-10373328.85</v>
      </c>
      <c r="MA11" s="149"/>
      <c r="MB11" s="43">
        <v>0</v>
      </c>
      <c r="MC11" s="149"/>
      <c r="MD11" s="43">
        <v>-1638180.36</v>
      </c>
      <c r="ME11" s="149"/>
      <c r="MF11" s="43">
        <v>3198178.5900000003</v>
      </c>
      <c r="MG11" s="149"/>
      <c r="MH11" s="149">
        <f t="shared" si="16"/>
        <v>-18546462.330000002</v>
      </c>
      <c r="MI11" s="150"/>
      <c r="MJ11" s="150"/>
      <c r="MK11" s="148" t="s">
        <v>86</v>
      </c>
      <c r="ML11" s="43">
        <v>-7913049.8599999994</v>
      </c>
      <c r="MM11" s="149"/>
      <c r="MN11" s="43">
        <v>-7787987.5200000014</v>
      </c>
      <c r="MO11" s="149"/>
      <c r="MP11" s="43">
        <v>0</v>
      </c>
      <c r="MQ11" s="149"/>
      <c r="MR11" s="43">
        <v>-1306841.46</v>
      </c>
      <c r="MS11" s="149"/>
      <c r="MT11" s="43">
        <v>2441231.7249999987</v>
      </c>
      <c r="MU11" s="149"/>
      <c r="MV11" s="149">
        <f t="shared" ref="MV11:MV17" si="40">SUM(ML11:MT11)</f>
        <v>-14566647.115000002</v>
      </c>
      <c r="MW11" s="150"/>
      <c r="MX11" s="150"/>
      <c r="MY11" s="148" t="s">
        <v>86</v>
      </c>
      <c r="MZ11" s="43">
        <v>-6053898.1599999992</v>
      </c>
      <c r="NA11" s="149"/>
      <c r="NB11" s="43">
        <v>-5094110.9899999993</v>
      </c>
      <c r="NC11" s="149"/>
      <c r="ND11" s="43">
        <v>0</v>
      </c>
      <c r="NE11" s="149"/>
      <c r="NF11" s="43">
        <v>-874897.05</v>
      </c>
      <c r="NG11" s="149"/>
      <c r="NH11" s="43">
        <v>1531972.7700000003</v>
      </c>
      <c r="NI11" s="149"/>
      <c r="NJ11" s="149">
        <f t="shared" ref="NJ11:NJ17" si="41">SUM(MZ11:NH11)</f>
        <v>-10490933.43</v>
      </c>
      <c r="NK11" s="150"/>
      <c r="NL11" s="148" t="s">
        <v>86</v>
      </c>
      <c r="NM11" s="43">
        <v>-2913885.34</v>
      </c>
      <c r="NN11" s="149"/>
      <c r="NO11" s="43">
        <v>-2699915.3</v>
      </c>
      <c r="NP11" s="149"/>
      <c r="NQ11" s="158">
        <v>0</v>
      </c>
      <c r="NS11" s="43">
        <v>-439063.19</v>
      </c>
      <c r="NU11" s="43">
        <v>854266.93499999959</v>
      </c>
      <c r="NW11" s="43">
        <f t="shared" si="17"/>
        <v>-5198596.8950000005</v>
      </c>
      <c r="NY11" s="59" t="s">
        <v>86</v>
      </c>
      <c r="NZ11" s="43">
        <v>-15600723.489999998</v>
      </c>
      <c r="OA11" s="43">
        <v>0</v>
      </c>
      <c r="OB11" s="43">
        <v>-18463054.75</v>
      </c>
      <c r="OD11" s="43">
        <v>0</v>
      </c>
      <c r="OF11" s="43">
        <v>-2978009.99</v>
      </c>
      <c r="OH11" s="43">
        <v>7085119.5721666701</v>
      </c>
      <c r="OJ11" s="43">
        <f t="shared" si="18"/>
        <v>-29956668.657833327</v>
      </c>
      <c r="OK11" s="67"/>
      <c r="OL11" s="59" t="s">
        <v>86</v>
      </c>
      <c r="OM11" s="43">
        <v>-13650474.48</v>
      </c>
      <c r="ON11" s="43"/>
      <c r="OO11" s="43">
        <v>-16514042.869999997</v>
      </c>
      <c r="OQ11" s="130">
        <v>0</v>
      </c>
      <c r="OS11" s="43">
        <v>-2515737.0099999998</v>
      </c>
      <c r="OU11" s="43">
        <v>7456630.9147083331</v>
      </c>
      <c r="OW11" s="43">
        <f t="shared" si="19"/>
        <v>-25223623.445291668</v>
      </c>
      <c r="OX11" s="67"/>
      <c r="OY11" s="59" t="s">
        <v>86</v>
      </c>
      <c r="OZ11" s="43">
        <v>-11894936.859999999</v>
      </c>
      <c r="PA11" s="43"/>
      <c r="PB11" s="43">
        <v>-13178482.109999999</v>
      </c>
      <c r="PD11" s="130"/>
      <c r="PF11" s="43">
        <v>-2103352.4900000002</v>
      </c>
      <c r="PH11" s="43">
        <v>6210525.8528333325</v>
      </c>
      <c r="PJ11" s="43">
        <f t="shared" si="20"/>
        <v>-20966245.60716667</v>
      </c>
      <c r="PK11" s="67"/>
      <c r="PL11" s="59" t="s">
        <v>86</v>
      </c>
      <c r="PM11" s="43">
        <v>-9754184.0899999999</v>
      </c>
      <c r="PN11" s="43"/>
      <c r="PO11" s="43">
        <v>-10575900.15</v>
      </c>
      <c r="PQ11" s="130"/>
      <c r="PS11" s="43">
        <v>-1635406.3099999998</v>
      </c>
      <c r="PU11" s="43">
        <v>5158519.5102083348</v>
      </c>
      <c r="PW11" s="43">
        <f t="shared" si="21"/>
        <v>-16806971.039791666</v>
      </c>
      <c r="PX11" s="67"/>
      <c r="PY11" s="59" t="s">
        <v>86</v>
      </c>
      <c r="PZ11" s="43">
        <v>-4646821.8499999996</v>
      </c>
      <c r="QA11" s="43"/>
      <c r="QB11" s="43">
        <v>-8008383.9000000004</v>
      </c>
      <c r="QD11" s="43">
        <v>-2778322.9099999997</v>
      </c>
      <c r="QF11" s="43">
        <v>-1213698.3399999999</v>
      </c>
      <c r="QH11" s="43">
        <v>4124327.3760833335</v>
      </c>
      <c r="QJ11" s="43">
        <f t="shared" si="22"/>
        <v>-12522899.623916667</v>
      </c>
      <c r="QK11" s="67"/>
      <c r="QL11" s="59" t="s">
        <v>86</v>
      </c>
      <c r="QM11" s="43">
        <v>-3630594.97</v>
      </c>
      <c r="QN11" s="43"/>
      <c r="QO11" s="43">
        <v>-5678769.1899999995</v>
      </c>
      <c r="QQ11" s="43">
        <v>-1782485.68</v>
      </c>
      <c r="QS11" s="43">
        <v>-815423.57</v>
      </c>
      <c r="QU11" s="43">
        <v>3110406.14</v>
      </c>
      <c r="QW11" s="43">
        <f t="shared" si="23"/>
        <v>-8796867.2699999996</v>
      </c>
      <c r="QX11" s="67"/>
      <c r="QY11" s="59" t="s">
        <v>86</v>
      </c>
      <c r="QZ11" s="43">
        <v>-1753390.68</v>
      </c>
      <c r="RA11" s="43"/>
      <c r="RB11" s="43">
        <v>-2101939.9000000004</v>
      </c>
      <c r="RD11" s="43">
        <v>-875719.46</v>
      </c>
      <c r="RF11" s="43">
        <v>-404408.77</v>
      </c>
      <c r="RH11" s="43">
        <v>781529.73999999941</v>
      </c>
      <c r="RJ11" s="43">
        <f t="shared" si="24"/>
        <v>-4353929.0700000012</v>
      </c>
      <c r="RK11" s="67"/>
      <c r="RL11" s="59" t="s">
        <v>86</v>
      </c>
      <c r="RM11" s="43">
        <v>-4007171.21</v>
      </c>
      <c r="RN11" s="43"/>
      <c r="RO11" s="43">
        <v>-11300033.999999998</v>
      </c>
      <c r="RQ11" s="43">
        <v>-3555466.25</v>
      </c>
      <c r="RS11" s="43">
        <v>-1839323.7700000003</v>
      </c>
      <c r="RU11" s="43">
        <v>6884069.8499999996</v>
      </c>
      <c r="RW11" s="43">
        <f t="shared" si="25"/>
        <v>-13817925.379999997</v>
      </c>
      <c r="RX11" s="67"/>
      <c r="RY11" s="59" t="s">
        <v>86</v>
      </c>
      <c r="RZ11" s="43">
        <v>-2929836.1799999997</v>
      </c>
      <c r="SA11" s="43">
        <v>0</v>
      </c>
      <c r="SB11" s="43">
        <v>-6485705.4399999995</v>
      </c>
      <c r="SC11" s="43">
        <v>0</v>
      </c>
      <c r="SD11" s="43">
        <v>-2560934.6</v>
      </c>
      <c r="SE11" s="43">
        <v>0</v>
      </c>
      <c r="SF11" s="43">
        <v>-1269923.7500000002</v>
      </c>
      <c r="SG11" s="43">
        <v>0</v>
      </c>
      <c r="SH11" s="43">
        <v>3277979.100000001</v>
      </c>
      <c r="SJ11" s="43">
        <f t="shared" si="26"/>
        <v>-9968420.8699999973</v>
      </c>
      <c r="SK11" s="67"/>
      <c r="SL11" s="59" t="s">
        <v>86</v>
      </c>
      <c r="SM11" s="43">
        <v>-1917343.22</v>
      </c>
      <c r="SN11" s="43"/>
      <c r="SO11" s="43">
        <v>-4474513.6400000006</v>
      </c>
      <c r="SQ11" s="43">
        <v>-1672607.75</v>
      </c>
      <c r="SS11" s="43">
        <v>-876605.00000000012</v>
      </c>
      <c r="SU11" s="43">
        <v>2407227.4300000034</v>
      </c>
      <c r="SW11" s="43">
        <f t="shared" si="27"/>
        <v>-6533842.1799999978</v>
      </c>
      <c r="SX11" s="67"/>
      <c r="SY11" s="59" t="s">
        <v>86</v>
      </c>
      <c r="SZ11" s="43">
        <v>-840909.6</v>
      </c>
      <c r="TA11" s="43"/>
      <c r="TB11" s="43">
        <v>-1929394.9400000002</v>
      </c>
      <c r="TD11" s="43">
        <v>-873556.62000000011</v>
      </c>
      <c r="TF11" s="43">
        <v>-432129.94</v>
      </c>
      <c r="TH11" s="43">
        <v>869263.85</v>
      </c>
      <c r="TJ11" s="43">
        <f t="shared" si="28"/>
        <v>-3206727.25</v>
      </c>
      <c r="TK11" s="67"/>
      <c r="TL11" s="59" t="s">
        <v>86</v>
      </c>
      <c r="TM11" s="43">
        <v>-6384187.379999999</v>
      </c>
      <c r="TN11" s="43"/>
      <c r="TO11" s="43">
        <v>-10319359.780000001</v>
      </c>
      <c r="TQ11" s="43">
        <v>-3705490.8999999994</v>
      </c>
      <c r="TS11" s="43">
        <v>-2866111.19</v>
      </c>
      <c r="TU11" s="43">
        <v>6272507.9500000048</v>
      </c>
      <c r="TW11" s="43">
        <f t="shared" si="29"/>
        <v>-17002641.299999997</v>
      </c>
      <c r="TX11" s="67"/>
      <c r="TY11" s="59" t="s">
        <v>86</v>
      </c>
      <c r="TZ11" s="43">
        <v>-4502446.1100000003</v>
      </c>
      <c r="UA11" s="43"/>
      <c r="UB11" s="43">
        <v>-7163589</v>
      </c>
      <c r="UD11" s="43">
        <v>-2718286.3800000004</v>
      </c>
      <c r="UF11" s="43">
        <v>-2166710.7800000003</v>
      </c>
      <c r="UH11" s="43">
        <v>4101782.7300000037</v>
      </c>
      <c r="UJ11" s="43">
        <f t="shared" si="30"/>
        <v>-12449249.539999995</v>
      </c>
      <c r="UK11" s="67"/>
      <c r="UL11" s="67" t="s">
        <v>86</v>
      </c>
      <c r="UM11" s="43">
        <v>-2938249.85</v>
      </c>
      <c r="UN11" s="43"/>
      <c r="UO11" s="43">
        <v>-4837965.43</v>
      </c>
      <c r="UQ11" s="43">
        <v>-1839679.08</v>
      </c>
      <c r="US11" s="43">
        <v>-1454699.87</v>
      </c>
      <c r="UU11" s="43">
        <v>2398670.88</v>
      </c>
      <c r="UW11" s="43">
        <v>-8671923.3499999996</v>
      </c>
      <c r="UX11" s="67"/>
      <c r="UY11" s="67" t="s">
        <v>86</v>
      </c>
      <c r="UZ11" s="43">
        <f>-1359.633*1000</f>
        <v>-1359633</v>
      </c>
      <c r="VA11" s="43"/>
      <c r="VB11" s="43">
        <f>-2431.64182*1000</f>
        <v>-2431641.8199999998</v>
      </c>
      <c r="VD11" s="43">
        <f>-914.48935*1000</f>
        <v>-914489.35</v>
      </c>
      <c r="VF11" s="43">
        <f>-729.83958*1000</f>
        <v>-729839.58</v>
      </c>
      <c r="VH11" s="43">
        <f>1162.87982*1000</f>
        <v>1162879.82</v>
      </c>
      <c r="VJ11" s="43">
        <f>-4272.72393*1000</f>
        <v>-4272723.93</v>
      </c>
      <c r="VK11" s="67"/>
      <c r="VL11" s="60" t="s">
        <v>86</v>
      </c>
      <c r="VM11" s="43">
        <v>-6066826.2999999998</v>
      </c>
      <c r="VN11" s="43"/>
      <c r="VO11" s="43">
        <v>-9051361</v>
      </c>
      <c r="VQ11" s="43">
        <v>-4179912.33</v>
      </c>
      <c r="VS11" s="43">
        <v>-3085260.62</v>
      </c>
      <c r="VU11" s="43">
        <v>5207593.05</v>
      </c>
      <c r="VW11" s="43">
        <f t="shared" si="31"/>
        <v>-17175767.200000003</v>
      </c>
      <c r="VX11" s="67"/>
      <c r="VY11" s="60" t="s">
        <v>86</v>
      </c>
      <c r="VZ11" s="43">
        <f>-2575.701*1000-2138895.31-95635.35</f>
        <v>-4810231.66</v>
      </c>
      <c r="WA11" s="43"/>
      <c r="WB11" s="43">
        <v>-6725990.1542494791</v>
      </c>
      <c r="WD11" s="43">
        <f>(-(38.433+270.179+8.025)-123.84-126.85)*1000+(-1618.322-979.669)*1000</f>
        <v>-3165318</v>
      </c>
      <c r="WF11" s="43">
        <f>-2120.68093*1000</f>
        <v>-2120680.9300000002</v>
      </c>
      <c r="WH11" s="43">
        <f>1484.08915*1000+2495000</f>
        <v>3979089.15</v>
      </c>
      <c r="WJ11" s="43">
        <f t="shared" si="32"/>
        <v>-12843131.594249478</v>
      </c>
      <c r="WK11" s="67"/>
      <c r="WL11" s="67" t="s">
        <v>86</v>
      </c>
      <c r="WM11" s="43">
        <v>-3749962.6770662102</v>
      </c>
      <c r="WN11" s="43"/>
      <c r="WO11" s="43">
        <v>-4514209.72</v>
      </c>
      <c r="WP11" s="43">
        <v>0</v>
      </c>
      <c r="WQ11" s="43">
        <v>-2010841.26</v>
      </c>
      <c r="WR11" s="43">
        <v>0</v>
      </c>
      <c r="WS11" s="43">
        <v>-1352701.32</v>
      </c>
      <c r="WT11" s="43">
        <v>0</v>
      </c>
      <c r="WU11" s="43">
        <v>2540548.9900000002</v>
      </c>
      <c r="WW11" s="43">
        <v>9087165.9870662037</v>
      </c>
      <c r="WX11" s="43"/>
      <c r="WY11" s="67" t="s">
        <v>86</v>
      </c>
      <c r="WZ11" s="43">
        <f>-1388.99783*1000</f>
        <v>-1388997.83</v>
      </c>
      <c r="XA11" s="43"/>
      <c r="XB11" s="43">
        <f>-2101.51851*1000</f>
        <v>-2101518.5099999998</v>
      </c>
      <c r="XD11" s="43">
        <f>-977.27302*1000</f>
        <v>-977273.02</v>
      </c>
      <c r="XF11" s="43">
        <f>-649.598373533103*1000</f>
        <v>-649598.37353310292</v>
      </c>
      <c r="XH11" s="43">
        <f>1162.87982*1000</f>
        <v>1162879.82</v>
      </c>
      <c r="XJ11" s="43">
        <f>-3954.5079135331*1000</f>
        <v>-3954507.9135330999</v>
      </c>
      <c r="XK11" s="43"/>
      <c r="XL11" s="67" t="s">
        <v>86</v>
      </c>
      <c r="XM11" s="43">
        <v>-8944446.4100000001</v>
      </c>
      <c r="XN11" s="43"/>
      <c r="XO11" s="43">
        <v>-8660472.2899999991</v>
      </c>
      <c r="XQ11" s="43">
        <v>-5309885.12</v>
      </c>
      <c r="XS11" s="43">
        <v>-1858121.8319861901</v>
      </c>
      <c r="XU11" s="43">
        <v>4861624.8100000005</v>
      </c>
      <c r="XW11" s="43">
        <f t="shared" si="33"/>
        <v>-19911300.841986187</v>
      </c>
      <c r="XX11" s="43"/>
      <c r="XY11" s="60" t="s">
        <v>86</v>
      </c>
      <c r="XZ11" s="43">
        <f>-2850.347*1000-2070503.66</f>
        <v>-4920850.66</v>
      </c>
      <c r="YA11" s="43"/>
      <c r="YB11" s="43">
        <v>-6443078.0599999996</v>
      </c>
      <c r="YD11" s="43">
        <f>-1094.603*1000-2881713</f>
        <v>-3976316</v>
      </c>
      <c r="YF11" s="43">
        <f>-1471.17646*1000</f>
        <v>-1471176.46</v>
      </c>
      <c r="YH11" s="43">
        <f>1724.02626*1000+2250000</f>
        <v>3974026.26</v>
      </c>
      <c r="YJ11" s="43">
        <f t="shared" si="34"/>
        <v>-12837394.92</v>
      </c>
    </row>
    <row r="12" spans="1:660">
      <c r="A12" s="148" t="s">
        <v>64</v>
      </c>
      <c r="B12" s="43"/>
      <c r="C12" s="195"/>
      <c r="E12" s="195"/>
      <c r="F12" s="43"/>
      <c r="G12" s="195"/>
      <c r="I12" s="195"/>
      <c r="K12" s="195"/>
      <c r="L12" s="195"/>
      <c r="O12" s="148" t="s">
        <v>64</v>
      </c>
      <c r="P12" s="43"/>
      <c r="Q12" s="195"/>
      <c r="S12" s="195"/>
      <c r="T12" s="43"/>
      <c r="U12" s="195"/>
      <c r="W12" s="195"/>
      <c r="Y12" s="195"/>
      <c r="Z12" s="195"/>
      <c r="AC12" s="148" t="s">
        <v>64</v>
      </c>
      <c r="AD12" s="43"/>
      <c r="AE12" s="195"/>
      <c r="AG12" s="195"/>
      <c r="AH12" s="43"/>
      <c r="AI12" s="195"/>
      <c r="AK12" s="195"/>
      <c r="AM12" s="195"/>
      <c r="AN12" s="195"/>
      <c r="AQ12" s="148" t="s">
        <v>64</v>
      </c>
      <c r="AR12" s="43">
        <v>-124361492.149832</v>
      </c>
      <c r="AS12" s="194"/>
      <c r="AT12" s="43">
        <v>-2728198.94</v>
      </c>
      <c r="AU12" s="164"/>
      <c r="AV12" s="43">
        <v>0</v>
      </c>
      <c r="AW12" s="164"/>
      <c r="AX12" s="43">
        <v>0</v>
      </c>
      <c r="AY12" s="164"/>
      <c r="AZ12" s="43">
        <v>0</v>
      </c>
      <c r="BA12" s="195"/>
      <c r="BB12" s="195">
        <f t="shared" si="0"/>
        <v>-127089691.08983199</v>
      </c>
      <c r="BE12" s="148" t="s">
        <v>64</v>
      </c>
      <c r="BF12" s="43">
        <v>-376230599.84906</v>
      </c>
      <c r="BG12" s="195"/>
      <c r="BH12" s="43">
        <v>-9180256.2200000007</v>
      </c>
      <c r="BI12" s="195"/>
      <c r="BJ12" s="43">
        <v>0</v>
      </c>
      <c r="BK12" s="195"/>
      <c r="BL12" s="43">
        <v>0</v>
      </c>
      <c r="BM12" s="195"/>
      <c r="BN12" s="43">
        <v>37304.300000000003</v>
      </c>
      <c r="BO12" s="195"/>
      <c r="BP12" s="195">
        <f t="shared" si="1"/>
        <v>-385373551.76906002</v>
      </c>
      <c r="BS12" s="148" t="s">
        <v>64</v>
      </c>
      <c r="BT12" s="43">
        <v>-298951135.13609439</v>
      </c>
      <c r="BU12" s="195"/>
      <c r="BV12" s="43">
        <v>-6107570.1399999997</v>
      </c>
      <c r="BW12" s="195"/>
      <c r="BX12" s="43">
        <v>0</v>
      </c>
      <c r="BY12" s="195"/>
      <c r="BZ12" s="43">
        <v>0</v>
      </c>
      <c r="CA12" s="195"/>
      <c r="CB12" s="43">
        <v>37304.300000000003</v>
      </c>
      <c r="CC12" s="195"/>
      <c r="CD12" s="195">
        <f t="shared" si="2"/>
        <v>-305021400.97609437</v>
      </c>
      <c r="CG12" s="148" t="s">
        <v>64</v>
      </c>
      <c r="CH12" s="43">
        <v>-231522453.0189667</v>
      </c>
      <c r="CI12" s="195"/>
      <c r="CJ12" s="43">
        <v>-4651827.08</v>
      </c>
      <c r="CK12" s="195"/>
      <c r="CL12" s="43">
        <v>0</v>
      </c>
      <c r="CM12" s="195"/>
      <c r="CN12" s="43">
        <v>0</v>
      </c>
      <c r="CO12" s="195"/>
      <c r="CP12" s="43">
        <v>2500.0189666938782</v>
      </c>
      <c r="CQ12" s="195"/>
      <c r="CR12" s="195">
        <f t="shared" si="3"/>
        <v>-236171780.08000001</v>
      </c>
      <c r="CU12" s="148" t="s">
        <v>64</v>
      </c>
      <c r="CV12" s="43">
        <v>-194154141.48897833</v>
      </c>
      <c r="CW12" s="195"/>
      <c r="CX12" s="43">
        <v>-1401200.98</v>
      </c>
      <c r="CY12" s="195"/>
      <c r="CZ12" s="43">
        <v>0</v>
      </c>
      <c r="DA12" s="195"/>
      <c r="DB12" s="43">
        <v>0</v>
      </c>
      <c r="DC12" s="195"/>
      <c r="DD12" s="43">
        <v>2500.02</v>
      </c>
      <c r="DE12" s="195"/>
      <c r="DF12" s="195">
        <f t="shared" si="4"/>
        <v>-195552842.4489783</v>
      </c>
      <c r="DI12" s="148" t="s">
        <v>64</v>
      </c>
      <c r="DJ12" s="164">
        <v>-269275663.91000003</v>
      </c>
      <c r="DK12" s="195"/>
      <c r="DL12" s="164">
        <v>-8102352.8099999996</v>
      </c>
      <c r="DM12" s="195"/>
      <c r="DN12" s="164">
        <v>0</v>
      </c>
      <c r="DO12" s="195"/>
      <c r="DP12" s="164">
        <v>0</v>
      </c>
      <c r="DQ12" s="195"/>
      <c r="DR12" s="164">
        <v>0</v>
      </c>
      <c r="DS12" s="195"/>
      <c r="DT12" s="195">
        <f t="shared" si="5"/>
        <v>-277378016.72000003</v>
      </c>
      <c r="DW12" s="148" t="s">
        <v>64</v>
      </c>
      <c r="DX12" s="43">
        <v>-189977329.80711955</v>
      </c>
      <c r="DY12" s="149"/>
      <c r="DZ12" s="43">
        <v>-5908947.7800000003</v>
      </c>
      <c r="EA12" s="149"/>
      <c r="EB12" s="43">
        <v>0</v>
      </c>
      <c r="EC12" s="149"/>
      <c r="ED12" s="43">
        <v>0</v>
      </c>
      <c r="EE12" s="149"/>
      <c r="EF12" s="43">
        <v>0</v>
      </c>
      <c r="EG12" s="149"/>
      <c r="EH12" s="149">
        <f t="shared" si="35"/>
        <v>-195886277.58711955</v>
      </c>
      <c r="EK12" s="148" t="s">
        <v>64</v>
      </c>
      <c r="EL12" s="43">
        <v>-131529836.67530401</v>
      </c>
      <c r="EM12" s="149"/>
      <c r="EN12" s="43">
        <v>-4785984.9000000004</v>
      </c>
      <c r="EO12" s="149"/>
      <c r="EP12" s="43">
        <v>0</v>
      </c>
      <c r="EQ12" s="149"/>
      <c r="ER12" s="43">
        <v>0</v>
      </c>
      <c r="ES12" s="149"/>
      <c r="ET12" s="43">
        <v>0</v>
      </c>
      <c r="EU12" s="149"/>
      <c r="EV12" s="149">
        <f t="shared" si="6"/>
        <v>-136315821.575304</v>
      </c>
      <c r="EY12" s="148" t="s">
        <v>64</v>
      </c>
      <c r="EZ12" s="43">
        <v>-97619233.465360016</v>
      </c>
      <c r="FA12" s="149"/>
      <c r="FB12" s="43">
        <v>-1730293.27</v>
      </c>
      <c r="FC12" s="149"/>
      <c r="FD12" s="43">
        <v>0</v>
      </c>
      <c r="FE12" s="149"/>
      <c r="FF12" s="43">
        <v>0</v>
      </c>
      <c r="FG12" s="149"/>
      <c r="FH12" s="43">
        <v>-22147.666639947522</v>
      </c>
      <c r="FI12" s="149"/>
      <c r="FJ12" s="149">
        <f t="shared" si="7"/>
        <v>-99371674.401999965</v>
      </c>
      <c r="FM12" s="148" t="s">
        <v>64</v>
      </c>
      <c r="FN12" s="43">
        <v>-87177671.530372679</v>
      </c>
      <c r="FO12" s="149"/>
      <c r="FP12" s="43">
        <v>-5605367.79</v>
      </c>
      <c r="FQ12" s="149"/>
      <c r="FR12" s="43">
        <v>0</v>
      </c>
      <c r="FS12" s="149"/>
      <c r="FT12" s="43">
        <v>0</v>
      </c>
      <c r="FU12" s="149"/>
      <c r="FV12" s="43">
        <v>2094927.29</v>
      </c>
      <c r="FW12" s="149"/>
      <c r="FX12" s="149">
        <f t="shared" si="8"/>
        <v>-90688112.030372679</v>
      </c>
      <c r="GA12" s="148" t="s">
        <v>64</v>
      </c>
      <c r="GB12" s="43">
        <v>-54736479.888607666</v>
      </c>
      <c r="GC12" s="149"/>
      <c r="GD12" s="43">
        <v>-5054537.42</v>
      </c>
      <c r="GE12" s="149"/>
      <c r="GF12" s="43">
        <v>0</v>
      </c>
      <c r="GG12" s="149"/>
      <c r="GH12" s="43">
        <v>0</v>
      </c>
      <c r="GI12" s="149"/>
      <c r="GJ12" s="43">
        <v>2094927.29</v>
      </c>
      <c r="GK12" s="149"/>
      <c r="GL12" s="149">
        <f t="shared" si="36"/>
        <v>-57696090.018607669</v>
      </c>
      <c r="GO12" s="148" t="s">
        <v>64</v>
      </c>
      <c r="GP12" s="43">
        <v>-38508833.294009998</v>
      </c>
      <c r="GQ12" s="149"/>
      <c r="GR12" s="43">
        <v>-3511143.27</v>
      </c>
      <c r="GS12" s="149"/>
      <c r="GT12" s="43">
        <v>0</v>
      </c>
      <c r="GU12" s="149"/>
      <c r="GV12" s="156">
        <v>0</v>
      </c>
      <c r="GW12" s="149"/>
      <c r="GX12" s="43">
        <v>807762.29</v>
      </c>
      <c r="GY12" s="149"/>
      <c r="GZ12" s="149">
        <f t="shared" si="9"/>
        <v>-41212214.274010003</v>
      </c>
      <c r="HC12" s="148" t="s">
        <v>64</v>
      </c>
      <c r="HD12" s="43">
        <v>-19430468.819999997</v>
      </c>
      <c r="HE12" s="149"/>
      <c r="HF12" s="43">
        <v>-1420292.91</v>
      </c>
      <c r="HG12" s="149"/>
      <c r="HH12" s="43">
        <v>0</v>
      </c>
      <c r="HI12" s="149"/>
      <c r="HJ12" s="43">
        <v>0</v>
      </c>
      <c r="HK12" s="149"/>
      <c r="HL12" s="43">
        <v>0</v>
      </c>
      <c r="HM12" s="149"/>
      <c r="HN12" s="149">
        <f t="shared" si="10"/>
        <v>-20850761.729999997</v>
      </c>
      <c r="HQ12" s="148" t="s">
        <v>64</v>
      </c>
      <c r="HR12" s="43">
        <v>-69543826</v>
      </c>
      <c r="HS12" s="149"/>
      <c r="HT12" s="43">
        <v>-5709957.6299999999</v>
      </c>
      <c r="HU12" s="149"/>
      <c r="HV12" s="43">
        <v>0</v>
      </c>
      <c r="HW12" s="149"/>
      <c r="HX12" s="43">
        <v>0</v>
      </c>
      <c r="HY12" s="149"/>
      <c r="HZ12" s="43">
        <v>79102.23</v>
      </c>
      <c r="IA12" s="149"/>
      <c r="IB12" s="149">
        <f t="shared" si="11"/>
        <v>-75174681.399999991</v>
      </c>
      <c r="IE12" s="148" t="s">
        <v>64</v>
      </c>
      <c r="IF12" s="43">
        <v>-35268380.359999999</v>
      </c>
      <c r="IG12" s="149"/>
      <c r="IH12" s="43">
        <v>-3980140.05</v>
      </c>
      <c r="II12" s="149"/>
      <c r="IJ12" s="43">
        <v>0</v>
      </c>
      <c r="IK12" s="149"/>
      <c r="IL12" s="43">
        <v>0</v>
      </c>
      <c r="IM12" s="149"/>
      <c r="IN12" s="43">
        <v>79102.230000029798</v>
      </c>
      <c r="IO12" s="149"/>
      <c r="IP12" s="149">
        <f t="shared" si="37"/>
        <v>-39169418.17999997</v>
      </c>
      <c r="IS12" s="148" t="s">
        <v>64</v>
      </c>
      <c r="IT12" s="43">
        <v>-30650047.32</v>
      </c>
      <c r="IU12" s="149"/>
      <c r="IV12" s="43">
        <v>-2757039.25</v>
      </c>
      <c r="IW12" s="149"/>
      <c r="IX12" s="43">
        <v>0</v>
      </c>
      <c r="IY12" s="149"/>
      <c r="IZ12" s="43">
        <v>0</v>
      </c>
      <c r="JA12" s="149"/>
      <c r="JB12" s="43">
        <v>79102.23</v>
      </c>
      <c r="JC12" s="149"/>
      <c r="JD12" s="149">
        <f t="shared" si="12"/>
        <v>-33327984.34</v>
      </c>
      <c r="JG12" s="148" t="s">
        <v>64</v>
      </c>
      <c r="JH12" s="43">
        <v>-18411702</v>
      </c>
      <c r="JI12" s="149"/>
      <c r="JJ12" s="43">
        <v>-1014794.02</v>
      </c>
      <c r="JK12" s="149"/>
      <c r="JL12" s="43">
        <v>0</v>
      </c>
      <c r="JM12" s="149"/>
      <c r="JN12" s="43">
        <v>0</v>
      </c>
      <c r="JO12" s="149"/>
      <c r="JP12" s="43">
        <v>76381.56</v>
      </c>
      <c r="JQ12" s="149"/>
      <c r="JR12" s="149">
        <f t="shared" si="13"/>
        <v>-19350114.460000001</v>
      </c>
      <c r="JU12" s="148" t="s">
        <v>64</v>
      </c>
      <c r="JV12" s="43">
        <v>-66934494.640000001</v>
      </c>
      <c r="JW12" s="149"/>
      <c r="JX12" s="43">
        <v>-7442739.1799999997</v>
      </c>
      <c r="JY12" s="149"/>
      <c r="JZ12" s="43">
        <v>0</v>
      </c>
      <c r="KA12" s="149"/>
      <c r="KB12" s="43">
        <v>0</v>
      </c>
      <c r="KC12" s="149"/>
      <c r="KD12" s="43">
        <v>0</v>
      </c>
      <c r="KE12" s="149"/>
      <c r="KF12" s="149">
        <f t="shared" si="14"/>
        <v>-74377233.819999993</v>
      </c>
      <c r="KG12" s="150"/>
      <c r="KH12" s="150"/>
      <c r="KI12" s="148" t="s">
        <v>64</v>
      </c>
      <c r="KJ12" s="43">
        <v>-53544318.159999996</v>
      </c>
      <c r="KK12" s="149"/>
      <c r="KL12" s="43">
        <v>-5811358.6200000001</v>
      </c>
      <c r="KM12" s="149"/>
      <c r="KN12" s="43">
        <v>0</v>
      </c>
      <c r="KO12" s="149"/>
      <c r="KP12" s="43">
        <v>0</v>
      </c>
      <c r="KQ12" s="149"/>
      <c r="KR12" s="43">
        <v>0</v>
      </c>
      <c r="KS12" s="149"/>
      <c r="KT12" s="149">
        <f t="shared" si="38"/>
        <v>-59355676.779999994</v>
      </c>
      <c r="KU12" s="150"/>
      <c r="KV12" s="150"/>
      <c r="KW12" s="148" t="s">
        <v>64</v>
      </c>
      <c r="KX12" s="43">
        <v>-42850139.829999998</v>
      </c>
      <c r="KY12" s="149"/>
      <c r="KZ12" s="43">
        <v>-4855867.16</v>
      </c>
      <c r="LA12" s="149"/>
      <c r="LB12" s="43">
        <v>0</v>
      </c>
      <c r="LC12" s="149"/>
      <c r="LD12" s="43">
        <v>0</v>
      </c>
      <c r="LE12" s="149"/>
      <c r="LF12" s="43">
        <v>0</v>
      </c>
      <c r="LG12" s="149"/>
      <c r="LH12" s="149">
        <f t="shared" si="39"/>
        <v>-47706006.989999995</v>
      </c>
      <c r="LI12" s="150"/>
      <c r="LJ12" s="148" t="s">
        <v>64</v>
      </c>
      <c r="LK12" s="43">
        <v>-21683386.550000001</v>
      </c>
      <c r="LL12" s="149"/>
      <c r="LM12" s="43">
        <v>-2361977.44</v>
      </c>
      <c r="LN12" s="149"/>
      <c r="LO12" s="43">
        <v>0</v>
      </c>
      <c r="LQ12" s="43">
        <v>0</v>
      </c>
      <c r="LS12" s="43">
        <v>0</v>
      </c>
      <c r="LU12" s="43">
        <f t="shared" si="15"/>
        <v>-24045363.990000002</v>
      </c>
      <c r="LW12" s="148" t="s">
        <v>64</v>
      </c>
      <c r="LX12" s="43">
        <v>-79039543.659999996</v>
      </c>
      <c r="LY12" s="149"/>
      <c r="LZ12" s="43">
        <v>-4281532.83</v>
      </c>
      <c r="MA12" s="149"/>
      <c r="MB12" s="43">
        <v>0</v>
      </c>
      <c r="MC12" s="149"/>
      <c r="MD12" s="43">
        <v>0</v>
      </c>
      <c r="ME12" s="149"/>
      <c r="MF12" s="43">
        <v>-325242.98</v>
      </c>
      <c r="MG12" s="149"/>
      <c r="MH12" s="149">
        <f t="shared" si="16"/>
        <v>-83646319.469999999</v>
      </c>
      <c r="MI12" s="150"/>
      <c r="MJ12" s="150"/>
      <c r="MK12" s="148" t="s">
        <v>64</v>
      </c>
      <c r="ML12" s="43">
        <v>-57766477.600000001</v>
      </c>
      <c r="MM12" s="149"/>
      <c r="MN12" s="43">
        <v>-2921524.7800000003</v>
      </c>
      <c r="MO12" s="149"/>
      <c r="MP12" s="43">
        <v>0</v>
      </c>
      <c r="MQ12" s="149"/>
      <c r="MR12" s="43">
        <v>0</v>
      </c>
      <c r="MS12" s="149"/>
      <c r="MT12" s="43">
        <v>-293261.64999999851</v>
      </c>
      <c r="MU12" s="149"/>
      <c r="MV12" s="149">
        <f t="shared" si="40"/>
        <v>-60981264.030000001</v>
      </c>
      <c r="MW12" s="150"/>
      <c r="MX12" s="150"/>
      <c r="MY12" s="148" t="s">
        <v>64</v>
      </c>
      <c r="MZ12" s="43">
        <v>-51853869.380000003</v>
      </c>
      <c r="NA12" s="149"/>
      <c r="NB12" s="43">
        <v>-1412995.77</v>
      </c>
      <c r="NC12" s="149"/>
      <c r="ND12" s="43">
        <v>0</v>
      </c>
      <c r="NE12" s="149"/>
      <c r="NF12" s="43">
        <v>0</v>
      </c>
      <c r="NG12" s="149"/>
      <c r="NH12" s="43">
        <v>-106701.8</v>
      </c>
      <c r="NI12" s="149"/>
      <c r="NJ12" s="149">
        <f t="shared" si="41"/>
        <v>-53373566.950000003</v>
      </c>
      <c r="NK12" s="150"/>
      <c r="NL12" s="148" t="s">
        <v>64</v>
      </c>
      <c r="NM12" s="43">
        <v>-45161413.170000002</v>
      </c>
      <c r="NN12" s="149"/>
      <c r="NO12" s="43">
        <v>-1000707.51</v>
      </c>
      <c r="NP12" s="149"/>
      <c r="NQ12" s="158">
        <v>0</v>
      </c>
      <c r="NS12" s="43">
        <v>0</v>
      </c>
      <c r="NU12" s="43">
        <v>-59262</v>
      </c>
      <c r="NW12" s="43">
        <f t="shared" si="17"/>
        <v>-46221382.68</v>
      </c>
      <c r="NY12" s="59" t="s">
        <v>64</v>
      </c>
      <c r="NZ12" s="43">
        <v>-46432042.510000005</v>
      </c>
      <c r="OA12" s="43">
        <v>0</v>
      </c>
      <c r="OB12" s="43">
        <v>-5174963.45</v>
      </c>
      <c r="OD12" s="43">
        <v>0</v>
      </c>
      <c r="OF12" s="43">
        <v>0</v>
      </c>
      <c r="OH12" s="43">
        <v>-63203.729999991956</v>
      </c>
      <c r="OJ12" s="43">
        <f t="shared" si="18"/>
        <v>-51670209.689999998</v>
      </c>
      <c r="OK12" s="67"/>
      <c r="OL12" s="59" t="s">
        <v>64</v>
      </c>
      <c r="OM12" s="43">
        <v>-33213338.329999998</v>
      </c>
      <c r="ON12" s="43"/>
      <c r="OO12" s="43">
        <v>-3940647.08</v>
      </c>
      <c r="OQ12" s="130">
        <v>0</v>
      </c>
      <c r="OS12" s="43">
        <v>0</v>
      </c>
      <c r="OU12" s="43">
        <v>8999.4899999999943</v>
      </c>
      <c r="OW12" s="43">
        <f t="shared" si="19"/>
        <v>-37144985.919999994</v>
      </c>
      <c r="OX12" s="67"/>
      <c r="OY12" s="59" t="s">
        <v>64</v>
      </c>
      <c r="OZ12" s="43">
        <v>-29998433.480000004</v>
      </c>
      <c r="PA12" s="43"/>
      <c r="PB12" s="43">
        <v>-3204851.12</v>
      </c>
      <c r="PD12" s="130"/>
      <c r="PF12" s="43">
        <v>0</v>
      </c>
      <c r="PH12" s="43">
        <v>12787.159999999993</v>
      </c>
      <c r="PJ12" s="43">
        <f t="shared" si="20"/>
        <v>-33190497.440000005</v>
      </c>
      <c r="PK12" s="67"/>
      <c r="PL12" s="59" t="s">
        <v>64</v>
      </c>
      <c r="PM12" s="43">
        <v>-29029553.599999998</v>
      </c>
      <c r="PN12" s="43"/>
      <c r="PO12" s="43">
        <v>-2583211.52</v>
      </c>
      <c r="PQ12" s="130"/>
      <c r="PS12" s="43">
        <v>0</v>
      </c>
      <c r="PU12" s="43">
        <v>19183.849999999995</v>
      </c>
      <c r="PW12" s="43">
        <f t="shared" si="21"/>
        <v>-31593581.269999996</v>
      </c>
      <c r="PX12" s="67"/>
      <c r="PY12" s="59" t="s">
        <v>64</v>
      </c>
      <c r="PZ12" s="43">
        <v>-7071283.1899999995</v>
      </c>
      <c r="QA12" s="43"/>
      <c r="QB12" s="43">
        <v>-1520737.37</v>
      </c>
      <c r="QD12" s="43">
        <v>-103001.78</v>
      </c>
      <c r="QF12" s="43">
        <v>0</v>
      </c>
      <c r="QH12" s="43">
        <v>-14597.53</v>
      </c>
      <c r="QJ12" s="43">
        <f t="shared" si="22"/>
        <v>-8709619.8699999973</v>
      </c>
      <c r="QK12" s="67"/>
      <c r="QL12" s="59" t="s">
        <v>64</v>
      </c>
      <c r="QM12" s="43">
        <v>-2976300.95</v>
      </c>
      <c r="QN12" s="43"/>
      <c r="QO12" s="43">
        <v>-524468.15999999992</v>
      </c>
      <c r="QQ12" s="43">
        <v>-76387.81</v>
      </c>
      <c r="QS12" s="43">
        <v>0</v>
      </c>
      <c r="QU12" s="43">
        <v>-7962</v>
      </c>
      <c r="QW12" s="43">
        <f t="shared" si="23"/>
        <v>-3585118.9200000004</v>
      </c>
      <c r="QX12" s="67"/>
      <c r="QY12" s="59" t="s">
        <v>64</v>
      </c>
      <c r="QZ12" s="43">
        <v>-1212126.01</v>
      </c>
      <c r="RA12" s="43"/>
      <c r="RB12" s="43">
        <v>-167585.09999999998</v>
      </c>
      <c r="RD12" s="43">
        <v>-46915.880000000005</v>
      </c>
      <c r="RF12" s="43">
        <v>0</v>
      </c>
      <c r="RH12" s="43">
        <v>-4223.0000000001801</v>
      </c>
      <c r="RJ12" s="43">
        <f t="shared" si="24"/>
        <v>-1430849.99</v>
      </c>
      <c r="RK12" s="67"/>
      <c r="RL12" s="59" t="s">
        <v>64</v>
      </c>
      <c r="RM12" s="43">
        <v>-23260998.379999999</v>
      </c>
      <c r="RN12" s="43"/>
      <c r="RO12" s="43">
        <v>-1497864.07</v>
      </c>
      <c r="RQ12" s="43">
        <v>-340942.49</v>
      </c>
      <c r="RS12" s="43">
        <v>0</v>
      </c>
      <c r="RU12" s="43">
        <v>-32277.280000001101</v>
      </c>
      <c r="RW12" s="43">
        <f t="shared" si="25"/>
        <v>-25132082.219999999</v>
      </c>
      <c r="RX12" s="67"/>
      <c r="RY12" s="59" t="s">
        <v>64</v>
      </c>
      <c r="RZ12" s="43">
        <v>-16288782.23</v>
      </c>
      <c r="SA12" s="43">
        <v>0</v>
      </c>
      <c r="SB12" s="43">
        <v>-705776.27</v>
      </c>
      <c r="SC12" s="43">
        <v>0</v>
      </c>
      <c r="SD12" s="43">
        <v>-281292.5</v>
      </c>
      <c r="SE12" s="43">
        <v>0</v>
      </c>
      <c r="SF12" s="43">
        <v>0</v>
      </c>
      <c r="SG12" s="43">
        <v>0</v>
      </c>
      <c r="SH12" s="43">
        <v>-30832.280000000501</v>
      </c>
      <c r="SJ12" s="43">
        <f t="shared" si="26"/>
        <v>-17306683.280000001</v>
      </c>
      <c r="SK12" s="67"/>
      <c r="SL12" s="59" t="s">
        <v>64</v>
      </c>
      <c r="SM12" s="43">
        <v>-8685358.6500000004</v>
      </c>
      <c r="SN12" s="43"/>
      <c r="SO12" s="43">
        <v>-259904.99000000002</v>
      </c>
      <c r="SQ12" s="43">
        <v>-261058.12</v>
      </c>
      <c r="SS12" s="43">
        <v>0</v>
      </c>
      <c r="SU12" s="43">
        <v>-27166.600000003298</v>
      </c>
      <c r="SW12" s="43">
        <f t="shared" si="27"/>
        <v>-9233488.3600000031</v>
      </c>
      <c r="SX12" s="67"/>
      <c r="SY12" s="59" t="s">
        <v>64</v>
      </c>
      <c r="SZ12" s="43">
        <v>-2383822.54</v>
      </c>
      <c r="TA12" s="43"/>
      <c r="TB12" s="43">
        <v>-33108.520000000004</v>
      </c>
      <c r="TD12" s="43">
        <v>-130904.06999999999</v>
      </c>
      <c r="TF12" s="43">
        <v>0</v>
      </c>
      <c r="TH12" s="43">
        <v>0</v>
      </c>
      <c r="TJ12" s="43">
        <f t="shared" si="28"/>
        <v>-2547835.13</v>
      </c>
      <c r="TK12" s="67"/>
      <c r="TL12" s="59" t="s">
        <v>64</v>
      </c>
      <c r="TM12" s="43">
        <v>-54810154.260000005</v>
      </c>
      <c r="TN12" s="43"/>
      <c r="TO12" s="43">
        <v>-1101017.6499999999</v>
      </c>
      <c r="TQ12" s="43">
        <v>-830038.5</v>
      </c>
      <c r="TS12" s="43">
        <v>-14700.9299999918</v>
      </c>
      <c r="TU12" s="43">
        <v>0</v>
      </c>
      <c r="TW12" s="43">
        <f t="shared" si="29"/>
        <v>-56755911.339999996</v>
      </c>
      <c r="TX12" s="67"/>
      <c r="TY12" s="59" t="s">
        <v>64</v>
      </c>
      <c r="TZ12" s="43">
        <v>-37647806.859999999</v>
      </c>
      <c r="UA12" s="43"/>
      <c r="UB12" s="43">
        <v>-383313.88</v>
      </c>
      <c r="UD12" s="43">
        <v>-546045.43999999994</v>
      </c>
      <c r="UF12" s="43">
        <v>-12600.92999999703</v>
      </c>
      <c r="UH12" s="43">
        <v>0</v>
      </c>
      <c r="UJ12" s="43">
        <f t="shared" si="30"/>
        <v>-38589767.109999999</v>
      </c>
      <c r="UK12" s="67"/>
      <c r="UL12" s="67" t="s">
        <v>64</v>
      </c>
      <c r="UM12" s="43">
        <v>-5722014.75</v>
      </c>
      <c r="UN12" s="43"/>
      <c r="UO12" s="43">
        <v>-349586.78</v>
      </c>
      <c r="UQ12" s="43">
        <v>-23903.73</v>
      </c>
      <c r="US12" s="43">
        <v>-8936.93</v>
      </c>
      <c r="UU12" s="43">
        <v>0</v>
      </c>
      <c r="UW12" s="43">
        <v>-6104442.1900000004</v>
      </c>
      <c r="UX12" s="67"/>
      <c r="UY12" s="67" t="s">
        <v>64</v>
      </c>
      <c r="UZ12" s="43">
        <f>-4054.38692*1000</f>
        <v>-4054386.92</v>
      </c>
      <c r="VA12" s="43"/>
      <c r="VB12" s="43">
        <f>-136.33695*1000</f>
        <v>-136336.95000000001</v>
      </c>
      <c r="VD12" s="43">
        <v>0</v>
      </c>
      <c r="VF12" s="43">
        <v>0</v>
      </c>
      <c r="VH12" s="43">
        <v>0</v>
      </c>
      <c r="VJ12" s="43">
        <f>-4190.72387*1000</f>
        <v>-4190723.8699999996</v>
      </c>
      <c r="VK12" s="67"/>
      <c r="VL12" s="60" t="s">
        <v>64</v>
      </c>
      <c r="VM12" s="43">
        <v>-43168416.399999999</v>
      </c>
      <c r="VN12" s="43"/>
      <c r="VO12" s="43">
        <v>-1920056.01</v>
      </c>
      <c r="VQ12" s="43">
        <v>0</v>
      </c>
      <c r="VS12" s="43">
        <v>0</v>
      </c>
      <c r="VU12" s="43">
        <v>-347945.47999999701</v>
      </c>
      <c r="VW12" s="43">
        <f t="shared" si="31"/>
        <v>-45436417.889999993</v>
      </c>
      <c r="VX12" s="67"/>
      <c r="VY12" s="60" t="s">
        <v>64</v>
      </c>
      <c r="VZ12" s="43">
        <f>-23949.23304*1000</f>
        <v>-23949233.039999999</v>
      </c>
      <c r="WA12" s="43"/>
      <c r="WB12" s="43">
        <v>-1549680.59</v>
      </c>
      <c r="WH12" s="43">
        <f>(-123.84-126.85)*1000</f>
        <v>-250690</v>
      </c>
      <c r="WJ12" s="43">
        <f t="shared" si="32"/>
        <v>-25749603.629999999</v>
      </c>
      <c r="WK12" s="67"/>
      <c r="WL12" s="67" t="s">
        <v>64</v>
      </c>
      <c r="WM12" s="43">
        <v>-11045865.93</v>
      </c>
      <c r="WN12" s="43"/>
      <c r="WO12" s="43">
        <v>-1192816.6299999999</v>
      </c>
      <c r="WP12" s="43">
        <v>0</v>
      </c>
      <c r="WQ12" s="43">
        <v>0</v>
      </c>
      <c r="WR12" s="43">
        <v>0</v>
      </c>
      <c r="WS12" s="43">
        <v>0</v>
      </c>
      <c r="WT12" s="43">
        <v>0</v>
      </c>
      <c r="WU12" s="43">
        <v>0</v>
      </c>
      <c r="WW12" s="43">
        <v>12238682.559999999</v>
      </c>
      <c r="WX12" s="43"/>
      <c r="WY12" s="67" t="s">
        <v>64</v>
      </c>
      <c r="WZ12" s="43">
        <f>-2301.39822*1000</f>
        <v>-2301398.2200000002</v>
      </c>
      <c r="XA12" s="43"/>
      <c r="XB12" s="43">
        <f>-530.09448*1000</f>
        <v>-530094.48</v>
      </c>
      <c r="XD12" s="43">
        <v>0</v>
      </c>
      <c r="XF12" s="43">
        <v>0</v>
      </c>
      <c r="XH12" s="43">
        <f>416.15322*1000</f>
        <v>416153.22</v>
      </c>
      <c r="XJ12" s="43">
        <f>-2415.33948*1000</f>
        <v>-2415339.48</v>
      </c>
      <c r="XK12" s="43"/>
      <c r="XL12" s="67" t="s">
        <v>64</v>
      </c>
      <c r="XM12" s="43">
        <v>-34727324.960000001</v>
      </c>
      <c r="XN12" s="43"/>
      <c r="XO12" s="43">
        <v>-1450555.3299999982</v>
      </c>
      <c r="XQ12" s="43">
        <v>0</v>
      </c>
      <c r="XS12" s="43">
        <v>0</v>
      </c>
      <c r="XU12" s="43">
        <v>-1237195.9699999988</v>
      </c>
      <c r="XW12" s="43">
        <f t="shared" si="33"/>
        <v>-37415076.259999998</v>
      </c>
      <c r="XX12" s="43"/>
      <c r="XY12" s="60" t="s">
        <v>64</v>
      </c>
      <c r="XZ12" s="43">
        <f>-21001.63588*1000</f>
        <v>-21001635.880000003</v>
      </c>
      <c r="YA12" s="43"/>
      <c r="YB12" s="43">
        <v>-1015542.64</v>
      </c>
      <c r="YJ12" s="43">
        <f t="shared" si="34"/>
        <v>-22017178.520000003</v>
      </c>
    </row>
    <row r="13" spans="1:660">
      <c r="A13" s="151" t="s">
        <v>87</v>
      </c>
      <c r="B13" s="43"/>
      <c r="C13" s="195"/>
      <c r="E13" s="195"/>
      <c r="F13" s="43"/>
      <c r="G13" s="195"/>
      <c r="I13" s="195"/>
      <c r="K13" s="195"/>
      <c r="L13" s="195"/>
      <c r="O13" s="151" t="s">
        <v>87</v>
      </c>
      <c r="P13" s="43"/>
      <c r="Q13" s="195"/>
      <c r="S13" s="195"/>
      <c r="T13" s="43"/>
      <c r="U13" s="195"/>
      <c r="W13" s="195"/>
      <c r="Y13" s="195"/>
      <c r="Z13" s="195"/>
      <c r="AC13" s="151" t="s">
        <v>87</v>
      </c>
      <c r="AD13" s="43"/>
      <c r="AE13" s="195"/>
      <c r="AG13" s="195"/>
      <c r="AH13" s="43"/>
      <c r="AI13" s="195"/>
      <c r="AK13" s="195"/>
      <c r="AM13" s="195"/>
      <c r="AN13" s="195"/>
      <c r="AQ13" s="151" t="s">
        <v>87</v>
      </c>
      <c r="AR13" s="43">
        <v>-9862392.8804681264</v>
      </c>
      <c r="AS13" s="194"/>
      <c r="AT13" s="43">
        <v>-1143879.8399999999</v>
      </c>
      <c r="AU13" s="164"/>
      <c r="AV13" s="43">
        <v>0</v>
      </c>
      <c r="AW13" s="164"/>
      <c r="AX13" s="43">
        <v>-1081299.7666354293</v>
      </c>
      <c r="AY13" s="164"/>
      <c r="AZ13" s="43">
        <v>182815.58076000001</v>
      </c>
      <c r="BA13" s="195"/>
      <c r="BB13" s="195">
        <f t="shared" si="0"/>
        <v>-11904756.906343555</v>
      </c>
      <c r="BE13" s="151" t="s">
        <v>87</v>
      </c>
      <c r="BF13" s="43">
        <v>-34850587.790480867</v>
      </c>
      <c r="BG13" s="195"/>
      <c r="BH13" s="43">
        <v>-4120311.35</v>
      </c>
      <c r="BI13" s="195"/>
      <c r="BJ13" s="43">
        <v>0</v>
      </c>
      <c r="BK13" s="195"/>
      <c r="BL13" s="43">
        <v>-4389413.7821223354</v>
      </c>
      <c r="BM13" s="195"/>
      <c r="BN13" s="43">
        <v>309452.32190666668</v>
      </c>
      <c r="BO13" s="195"/>
      <c r="BP13" s="195">
        <f t="shared" si="1"/>
        <v>-43050860.600696541</v>
      </c>
      <c r="BS13" s="151" t="s">
        <v>87</v>
      </c>
      <c r="BT13" s="43">
        <v>-25126658.054648872</v>
      </c>
      <c r="BU13" s="195"/>
      <c r="BV13" s="43">
        <v>-3034092.17</v>
      </c>
      <c r="BW13" s="195"/>
      <c r="BX13" s="43">
        <v>0</v>
      </c>
      <c r="BY13" s="195"/>
      <c r="BZ13" s="43">
        <v>-3312761.1330618178</v>
      </c>
      <c r="CA13" s="195"/>
      <c r="CB13" s="43">
        <v>244426.19610277779</v>
      </c>
      <c r="CC13" s="195"/>
      <c r="CD13" s="195">
        <f t="shared" si="2"/>
        <v>-31229085.16160791</v>
      </c>
      <c r="CG13" s="151" t="s">
        <v>87</v>
      </c>
      <c r="CH13" s="43">
        <v>-16503263.644514143</v>
      </c>
      <c r="CI13" s="195"/>
      <c r="CJ13" s="43">
        <v>-1822121.33</v>
      </c>
      <c r="CK13" s="195"/>
      <c r="CL13" s="43">
        <v>0</v>
      </c>
      <c r="CM13" s="195"/>
      <c r="CN13" s="43">
        <v>-2221533.4334254372</v>
      </c>
      <c r="CO13" s="195"/>
      <c r="CP13" s="43">
        <v>234839.30793957919</v>
      </c>
      <c r="CQ13" s="195"/>
      <c r="CR13" s="195">
        <f t="shared" si="3"/>
        <v>-20312079.100000001</v>
      </c>
      <c r="CU13" s="151" t="s">
        <v>87</v>
      </c>
      <c r="CV13" s="43">
        <v>-8907803.8836740814</v>
      </c>
      <c r="CW13" s="195"/>
      <c r="CX13" s="43">
        <v>-870277.95</v>
      </c>
      <c r="CY13" s="195"/>
      <c r="CZ13" s="43">
        <v>0</v>
      </c>
      <c r="DA13" s="195"/>
      <c r="DB13" s="43">
        <v>-1131995.594725389</v>
      </c>
      <c r="DC13" s="195"/>
      <c r="DD13" s="43">
        <v>228504.14</v>
      </c>
      <c r="DE13" s="195"/>
      <c r="DF13" s="195">
        <f t="shared" si="4"/>
        <v>-10681573.288399469</v>
      </c>
      <c r="DI13" s="151" t="s">
        <v>87</v>
      </c>
      <c r="DJ13" s="164">
        <v>-25482494.919419259</v>
      </c>
      <c r="DK13" s="195"/>
      <c r="DL13" s="164">
        <v>-3646928.92</v>
      </c>
      <c r="DM13" s="195"/>
      <c r="DN13" s="164">
        <v>0</v>
      </c>
      <c r="DO13" s="195"/>
      <c r="DP13" s="164">
        <v>-4876093.7317859475</v>
      </c>
      <c r="DQ13" s="195"/>
      <c r="DR13" s="164">
        <v>1173653.6112052063</v>
      </c>
      <c r="DS13" s="195"/>
      <c r="DT13" s="195">
        <f t="shared" si="5"/>
        <v>-32831863.960000001</v>
      </c>
      <c r="DW13" s="151" t="s">
        <v>87</v>
      </c>
      <c r="DX13" s="43">
        <v>-17642527.906119153</v>
      </c>
      <c r="DY13" s="149"/>
      <c r="DZ13" s="43">
        <v>-2694126.5199999996</v>
      </c>
      <c r="EA13" s="149"/>
      <c r="EB13" s="43">
        <v>0</v>
      </c>
      <c r="EC13" s="149"/>
      <c r="ED13" s="43">
        <v>-3692979.8437365144</v>
      </c>
      <c r="EE13" s="149"/>
      <c r="EF13" s="43">
        <v>798009.74950711103</v>
      </c>
      <c r="EG13" s="149"/>
      <c r="EH13" s="149">
        <f t="shared" si="35"/>
        <v>-23231624.520348556</v>
      </c>
      <c r="EK13" s="151" t="s">
        <v>87</v>
      </c>
      <c r="EL13" s="43">
        <v>-10696546.707947077</v>
      </c>
      <c r="EM13" s="149"/>
      <c r="EN13" s="43">
        <v>-1742993.32</v>
      </c>
      <c r="EO13" s="149"/>
      <c r="EP13" s="43">
        <v>0</v>
      </c>
      <c r="EQ13" s="149"/>
      <c r="ER13" s="43">
        <v>-2480082.156684231</v>
      </c>
      <c r="ES13" s="149"/>
      <c r="ET13" s="43">
        <v>0</v>
      </c>
      <c r="EU13" s="149"/>
      <c r="EV13" s="149">
        <f t="shared" si="6"/>
        <v>-14919622.184631309</v>
      </c>
      <c r="EY13" s="151" t="s">
        <v>87</v>
      </c>
      <c r="EZ13" s="43">
        <v>-4874479.5850547757</v>
      </c>
      <c r="FA13" s="149"/>
      <c r="FB13" s="43">
        <v>-847848.3</v>
      </c>
      <c r="FC13" s="149"/>
      <c r="FD13" s="43">
        <v>0</v>
      </c>
      <c r="FE13" s="149"/>
      <c r="FF13" s="43">
        <v>-1220924.52649986</v>
      </c>
      <c r="FG13" s="149"/>
      <c r="FH13" s="43">
        <v>5075.5215546347645</v>
      </c>
      <c r="FI13" s="149"/>
      <c r="FJ13" s="149">
        <f t="shared" si="7"/>
        <v>-6938176.8900000006</v>
      </c>
      <c r="FM13" s="151" t="s">
        <v>87</v>
      </c>
      <c r="FN13" s="43">
        <v>-12835487.345749864</v>
      </c>
      <c r="FO13" s="149"/>
      <c r="FP13" s="43">
        <v>-2721239.38</v>
      </c>
      <c r="FQ13" s="149"/>
      <c r="FR13" s="43">
        <v>0</v>
      </c>
      <c r="FS13" s="149"/>
      <c r="FT13" s="43">
        <v>-3240382.3080612216</v>
      </c>
      <c r="FU13" s="149"/>
      <c r="FV13" s="43">
        <v>48795.760000013404</v>
      </c>
      <c r="FW13" s="149"/>
      <c r="FX13" s="149">
        <f t="shared" si="8"/>
        <v>-18748313.273811072</v>
      </c>
      <c r="GA13" s="151" t="s">
        <v>87</v>
      </c>
      <c r="GB13" s="43">
        <v>-8788824.1428974997</v>
      </c>
      <c r="GC13" s="149"/>
      <c r="GD13" s="43">
        <v>-1943118</v>
      </c>
      <c r="GE13" s="149"/>
      <c r="GF13" s="43">
        <v>0</v>
      </c>
      <c r="GG13" s="149"/>
      <c r="GH13" s="43">
        <v>-2007839.9876240795</v>
      </c>
      <c r="GI13" s="149"/>
      <c r="GJ13" s="43">
        <v>317524.54144200927</v>
      </c>
      <c r="GK13" s="149"/>
      <c r="GL13" s="149">
        <f t="shared" si="36"/>
        <v>-12422257.58907957</v>
      </c>
      <c r="GO13" s="151" t="s">
        <v>87</v>
      </c>
      <c r="GP13" s="43">
        <v>-4887598.0497605</v>
      </c>
      <c r="GQ13" s="149"/>
      <c r="GR13" s="43">
        <v>-1250403.5</v>
      </c>
      <c r="GS13" s="149"/>
      <c r="GT13" s="43">
        <v>0</v>
      </c>
      <c r="GU13" s="149"/>
      <c r="GV13" s="156">
        <v>-816276.7948929877</v>
      </c>
      <c r="GW13" s="149"/>
      <c r="GX13" s="43">
        <v>48795.759402000003</v>
      </c>
      <c r="GY13" s="149"/>
      <c r="GZ13" s="149">
        <f t="shared" si="9"/>
        <v>-6905482.5852514869</v>
      </c>
      <c r="HC13" s="151" t="s">
        <v>87</v>
      </c>
      <c r="HD13" s="43">
        <v>-1860071.24</v>
      </c>
      <c r="HE13" s="149"/>
      <c r="HF13" s="43">
        <v>-568814.59000000008</v>
      </c>
      <c r="HG13" s="149"/>
      <c r="HH13" s="43">
        <v>0</v>
      </c>
      <c r="HI13" s="149"/>
      <c r="HJ13" s="43">
        <v>0</v>
      </c>
      <c r="HK13" s="149"/>
      <c r="HL13" s="43">
        <v>0</v>
      </c>
      <c r="HM13" s="149"/>
      <c r="HN13" s="149">
        <f t="shared" si="10"/>
        <v>-2428885.83</v>
      </c>
      <c r="HQ13" s="151" t="s">
        <v>87</v>
      </c>
      <c r="HR13" s="43">
        <v>-5098920.45</v>
      </c>
      <c r="HS13" s="149"/>
      <c r="HT13" s="43">
        <v>-2529653.21</v>
      </c>
      <c r="HU13" s="149"/>
      <c r="HV13" s="43">
        <v>0</v>
      </c>
      <c r="HW13" s="149"/>
      <c r="HX13" s="43">
        <v>0</v>
      </c>
      <c r="HY13" s="149"/>
      <c r="HZ13" s="43">
        <v>1.4901161193847699E-8</v>
      </c>
      <c r="IA13" s="149"/>
      <c r="IB13" s="149">
        <f t="shared" si="11"/>
        <v>-7628573.6599999852</v>
      </c>
      <c r="IE13" s="151" t="s">
        <v>87</v>
      </c>
      <c r="IF13" s="43">
        <v>-3432821.79</v>
      </c>
      <c r="IG13" s="149"/>
      <c r="IH13" s="43">
        <v>-2003693.9100000001</v>
      </c>
      <c r="II13" s="149"/>
      <c r="IJ13" s="43">
        <v>0</v>
      </c>
      <c r="IK13" s="149"/>
      <c r="IL13" s="43">
        <v>0</v>
      </c>
      <c r="IM13" s="149"/>
      <c r="IN13" s="43">
        <v>0</v>
      </c>
      <c r="IO13" s="149"/>
      <c r="IP13" s="149">
        <f t="shared" si="37"/>
        <v>-5436515.7000000002</v>
      </c>
      <c r="IS13" s="151" t="s">
        <v>87</v>
      </c>
      <c r="IT13" s="43">
        <v>-2255064.5300000003</v>
      </c>
      <c r="IU13" s="149"/>
      <c r="IV13" s="43">
        <v>-1252721.8799999999</v>
      </c>
      <c r="IW13" s="149"/>
      <c r="IX13" s="43">
        <v>0</v>
      </c>
      <c r="IY13" s="149"/>
      <c r="IZ13" s="43">
        <v>0</v>
      </c>
      <c r="JA13" s="149"/>
      <c r="JB13" s="43">
        <v>0</v>
      </c>
      <c r="JC13" s="149"/>
      <c r="JD13" s="149">
        <f t="shared" si="12"/>
        <v>-3507786.41</v>
      </c>
      <c r="JG13" s="151" t="s">
        <v>87</v>
      </c>
      <c r="JH13" s="43">
        <v>-1098316.8999999999</v>
      </c>
      <c r="JI13" s="149"/>
      <c r="JJ13" s="43">
        <v>-573028.39</v>
      </c>
      <c r="JK13" s="149"/>
      <c r="JL13" s="43">
        <v>0</v>
      </c>
      <c r="JM13" s="149"/>
      <c r="JN13" s="43">
        <v>0</v>
      </c>
      <c r="JO13" s="149"/>
      <c r="JP13" s="43">
        <v>0</v>
      </c>
      <c r="JQ13" s="149"/>
      <c r="JR13" s="149">
        <f t="shared" si="13"/>
        <v>-1671345.29</v>
      </c>
      <c r="JU13" s="151" t="s">
        <v>87</v>
      </c>
      <c r="JV13" s="43">
        <v>-4568142.58</v>
      </c>
      <c r="JW13" s="149"/>
      <c r="JX13" s="43">
        <v>-2849505.46</v>
      </c>
      <c r="JY13" s="149"/>
      <c r="JZ13" s="43">
        <v>0</v>
      </c>
      <c r="KA13" s="149"/>
      <c r="KB13" s="43">
        <v>0</v>
      </c>
      <c r="KC13" s="149"/>
      <c r="KD13" s="43">
        <v>0</v>
      </c>
      <c r="KE13" s="149"/>
      <c r="KF13" s="149">
        <f t="shared" si="14"/>
        <v>-7417648.04</v>
      </c>
      <c r="KG13" s="150"/>
      <c r="KH13" s="150"/>
      <c r="KI13" s="151" t="s">
        <v>87</v>
      </c>
      <c r="KJ13" s="43">
        <v>-3473510.81</v>
      </c>
      <c r="KK13" s="149"/>
      <c r="KL13" s="43">
        <v>-2382909.9899999998</v>
      </c>
      <c r="KM13" s="149"/>
      <c r="KN13" s="43">
        <v>0</v>
      </c>
      <c r="KO13" s="149"/>
      <c r="KP13" s="43">
        <v>0</v>
      </c>
      <c r="KQ13" s="149"/>
      <c r="KR13" s="43">
        <v>0</v>
      </c>
      <c r="KS13" s="149"/>
      <c r="KT13" s="149">
        <f t="shared" si="38"/>
        <v>-5856420.7999999998</v>
      </c>
      <c r="KU13" s="150"/>
      <c r="KV13" s="150"/>
      <c r="KW13" s="148" t="s">
        <v>87</v>
      </c>
      <c r="KX13" s="43">
        <v>-2517349.7400000002</v>
      </c>
      <c r="KY13" s="149"/>
      <c r="KZ13" s="43">
        <v>-1755943.22</v>
      </c>
      <c r="LA13" s="149"/>
      <c r="LB13" s="43">
        <v>0</v>
      </c>
      <c r="LC13" s="149"/>
      <c r="LD13" s="43">
        <v>0</v>
      </c>
      <c r="LE13" s="149"/>
      <c r="LF13" s="43">
        <v>0</v>
      </c>
      <c r="LG13" s="149"/>
      <c r="LH13" s="149">
        <f t="shared" si="39"/>
        <v>-4273292.96</v>
      </c>
      <c r="LI13" s="150"/>
      <c r="LJ13" s="148" t="s">
        <v>87</v>
      </c>
      <c r="LK13" s="43">
        <v>-1156205.8999999999</v>
      </c>
      <c r="LL13" s="149"/>
      <c r="LM13" s="43">
        <v>-978716.62</v>
      </c>
      <c r="LN13" s="149"/>
      <c r="LO13" s="43">
        <v>0</v>
      </c>
      <c r="LQ13" s="43">
        <v>0</v>
      </c>
      <c r="LS13" s="43">
        <v>0</v>
      </c>
      <c r="LU13" s="43">
        <f t="shared" si="15"/>
        <v>-2134922.52</v>
      </c>
      <c r="LW13" s="151" t="s">
        <v>87</v>
      </c>
      <c r="LX13" s="43">
        <v>-4304908.05</v>
      </c>
      <c r="LY13" s="149"/>
      <c r="LZ13" s="43">
        <v>-3097077.82</v>
      </c>
      <c r="MA13" s="149"/>
      <c r="MB13" s="43">
        <v>0</v>
      </c>
      <c r="MC13" s="149"/>
      <c r="MD13" s="43">
        <v>0</v>
      </c>
      <c r="ME13" s="149"/>
      <c r="MF13" s="43">
        <v>0</v>
      </c>
      <c r="MG13" s="149"/>
      <c r="MH13" s="149">
        <f t="shared" si="16"/>
        <v>-7401985.8699999992</v>
      </c>
      <c r="MI13" s="150"/>
      <c r="MJ13" s="150"/>
      <c r="MK13" s="151" t="s">
        <v>87</v>
      </c>
      <c r="ML13" s="43">
        <v>-2977331.5300000003</v>
      </c>
      <c r="MM13" s="149"/>
      <c r="MN13" s="43">
        <v>-2425354.13</v>
      </c>
      <c r="MO13" s="149"/>
      <c r="MP13" s="43">
        <v>0</v>
      </c>
      <c r="MQ13" s="149"/>
      <c r="MR13" s="43">
        <v>0</v>
      </c>
      <c r="MS13" s="149"/>
      <c r="MT13" s="43">
        <v>0</v>
      </c>
      <c r="MU13" s="149"/>
      <c r="MV13" s="149">
        <f t="shared" si="40"/>
        <v>-5402685.6600000001</v>
      </c>
      <c r="MW13" s="150"/>
      <c r="MX13" s="150"/>
      <c r="MY13" s="148" t="s">
        <v>87</v>
      </c>
      <c r="MZ13" s="43">
        <v>-1958691.56</v>
      </c>
      <c r="NA13" s="149"/>
      <c r="NB13" s="43">
        <v>-1611864.19</v>
      </c>
      <c r="NC13" s="149"/>
      <c r="ND13" s="43">
        <v>0</v>
      </c>
      <c r="NE13" s="149"/>
      <c r="NF13" s="43">
        <v>0</v>
      </c>
      <c r="NG13" s="149"/>
      <c r="NH13" s="43">
        <v>0</v>
      </c>
      <c r="NI13" s="149"/>
      <c r="NJ13" s="149">
        <f t="shared" si="41"/>
        <v>-3570555.75</v>
      </c>
      <c r="NK13" s="150"/>
      <c r="NL13" s="148" t="s">
        <v>87</v>
      </c>
      <c r="NM13" s="43">
        <v>-873079.14000000013</v>
      </c>
      <c r="NN13" s="149"/>
      <c r="NO13" s="43">
        <v>-836035.52</v>
      </c>
      <c r="NP13" s="149"/>
      <c r="NQ13" s="158">
        <v>0</v>
      </c>
      <c r="NS13" s="43">
        <v>0</v>
      </c>
      <c r="NU13" s="43">
        <v>0</v>
      </c>
      <c r="NW13" s="43">
        <f t="shared" si="17"/>
        <v>-1709114.6600000001</v>
      </c>
      <c r="NY13" s="59" t="s">
        <v>87</v>
      </c>
      <c r="NZ13" s="43">
        <v>-4428009.2</v>
      </c>
      <c r="OA13" s="43">
        <v>0</v>
      </c>
      <c r="OB13" s="43">
        <v>-3767362.96</v>
      </c>
      <c r="OD13" s="43">
        <v>0</v>
      </c>
      <c r="OF13" s="43">
        <v>0</v>
      </c>
      <c r="OH13" s="43">
        <v>0</v>
      </c>
      <c r="OJ13" s="43">
        <f t="shared" si="18"/>
        <v>-8195372.1600000001</v>
      </c>
      <c r="OK13" s="67"/>
      <c r="OL13" s="59" t="s">
        <v>87</v>
      </c>
      <c r="OM13" s="43">
        <v>-3547590.49</v>
      </c>
      <c r="ON13" s="43"/>
      <c r="OO13" s="43">
        <v>-3237383.9699999997</v>
      </c>
      <c r="OQ13" s="130"/>
      <c r="OS13" s="43">
        <v>0</v>
      </c>
      <c r="OU13" s="43">
        <v>0</v>
      </c>
      <c r="OW13" s="43">
        <f t="shared" si="19"/>
        <v>-6784974.46</v>
      </c>
      <c r="OX13" s="67"/>
      <c r="OY13" s="59" t="s">
        <v>87</v>
      </c>
      <c r="OZ13" s="43">
        <v>-2842281.4000000004</v>
      </c>
      <c r="PA13" s="43"/>
      <c r="PB13" s="43">
        <v>-2491228.83</v>
      </c>
      <c r="PD13" s="130"/>
      <c r="PF13" s="43">
        <v>0</v>
      </c>
      <c r="PH13" s="43">
        <v>0</v>
      </c>
      <c r="PJ13" s="43">
        <f t="shared" si="20"/>
        <v>-5333510.2300000004</v>
      </c>
      <c r="PK13" s="67"/>
      <c r="PL13" s="59" t="s">
        <v>87</v>
      </c>
      <c r="PM13" s="43">
        <v>-2169366.17</v>
      </c>
      <c r="PN13" s="43"/>
      <c r="PO13" s="43">
        <v>-1959616.13</v>
      </c>
      <c r="PQ13" s="130"/>
      <c r="PS13" s="43">
        <v>0</v>
      </c>
      <c r="PU13" s="43">
        <v>0</v>
      </c>
      <c r="PW13" s="43">
        <f t="shared" si="21"/>
        <v>-4128982.3</v>
      </c>
      <c r="PX13" s="67"/>
      <c r="PY13" s="59" t="s">
        <v>87</v>
      </c>
      <c r="PZ13" s="43">
        <v>-1508882.45</v>
      </c>
      <c r="QA13" s="43"/>
      <c r="QB13" s="43">
        <v>-1376623.8</v>
      </c>
      <c r="QD13" s="43">
        <v>0</v>
      </c>
      <c r="QF13" s="43">
        <v>0</v>
      </c>
      <c r="QH13" s="43">
        <v>0</v>
      </c>
      <c r="QJ13" s="43">
        <f t="shared" si="22"/>
        <v>-2885506.25</v>
      </c>
      <c r="QK13" s="67"/>
      <c r="QL13" s="59" t="s">
        <v>87</v>
      </c>
      <c r="QM13" s="43">
        <v>-1030819.7599999999</v>
      </c>
      <c r="QN13" s="43"/>
      <c r="QO13" s="43">
        <v>-921302.9</v>
      </c>
      <c r="QQ13" s="43">
        <v>0</v>
      </c>
      <c r="QS13" s="43">
        <v>0</v>
      </c>
      <c r="QU13" s="43">
        <v>0</v>
      </c>
      <c r="QW13" s="43">
        <f t="shared" si="23"/>
        <v>-1952122.66</v>
      </c>
      <c r="QX13" s="67"/>
      <c r="QY13" s="59" t="s">
        <v>87</v>
      </c>
      <c r="QZ13" s="43">
        <v>-470662.37</v>
      </c>
      <c r="RA13" s="43"/>
      <c r="RB13" s="43">
        <v>-295394.24</v>
      </c>
      <c r="RD13" s="43">
        <v>0</v>
      </c>
      <c r="RF13" s="43">
        <v>0</v>
      </c>
      <c r="RH13" s="43">
        <v>-5590.00000000003</v>
      </c>
      <c r="RJ13" s="43">
        <f t="shared" si="24"/>
        <v>-771646.61</v>
      </c>
      <c r="RK13" s="67"/>
      <c r="RL13" s="59" t="s">
        <v>87</v>
      </c>
      <c r="RM13" s="43">
        <v>-2483867.77</v>
      </c>
      <c r="RN13" s="43"/>
      <c r="RO13" s="43">
        <v>-1562851.36</v>
      </c>
      <c r="RQ13" s="43">
        <v>0</v>
      </c>
      <c r="RS13" s="43">
        <v>0</v>
      </c>
      <c r="RU13" s="43">
        <v>0</v>
      </c>
      <c r="RW13" s="43">
        <f t="shared" si="25"/>
        <v>-4046719.13</v>
      </c>
      <c r="RX13" s="67"/>
      <c r="RY13" s="59" t="s">
        <v>87</v>
      </c>
      <c r="RZ13" s="43">
        <v>-1962037.7899999998</v>
      </c>
      <c r="SA13" s="43">
        <v>0</v>
      </c>
      <c r="SB13" s="43">
        <v>-1124958.94</v>
      </c>
      <c r="SC13" s="43">
        <v>0</v>
      </c>
      <c r="SD13" s="43">
        <v>0</v>
      </c>
      <c r="SE13" s="43">
        <v>0</v>
      </c>
      <c r="SF13" s="43">
        <v>0</v>
      </c>
      <c r="SG13" s="43">
        <v>0</v>
      </c>
      <c r="SH13" s="43">
        <v>0</v>
      </c>
      <c r="SJ13" s="43">
        <f t="shared" si="26"/>
        <v>-3086996.7299999995</v>
      </c>
      <c r="SK13" s="67"/>
      <c r="SL13" s="59" t="s">
        <v>87</v>
      </c>
      <c r="SM13" s="43">
        <v>-1241802.8400000001</v>
      </c>
      <c r="SN13" s="43"/>
      <c r="SO13" s="43">
        <v>-743491.08000000007</v>
      </c>
      <c r="SQ13" s="43">
        <v>0</v>
      </c>
      <c r="SS13" s="43">
        <v>0</v>
      </c>
      <c r="SU13" s="43">
        <v>0</v>
      </c>
      <c r="SW13" s="43">
        <f t="shared" si="27"/>
        <v>-1985293.9200000002</v>
      </c>
      <c r="SX13" s="67"/>
      <c r="SY13" s="59" t="s">
        <v>87</v>
      </c>
      <c r="SZ13" s="43">
        <v>-608373.22000000009</v>
      </c>
      <c r="TA13" s="43"/>
      <c r="TB13" s="43">
        <v>-369172.89</v>
      </c>
      <c r="TD13" s="43">
        <v>0</v>
      </c>
      <c r="TF13" s="43">
        <v>0</v>
      </c>
      <c r="TH13" s="43">
        <v>0</v>
      </c>
      <c r="TJ13" s="43">
        <f t="shared" si="28"/>
        <v>-977546.1100000001</v>
      </c>
      <c r="TK13" s="67"/>
      <c r="TL13" s="59" t="s">
        <v>87</v>
      </c>
      <c r="TM13" s="43">
        <v>-3337222.0000000005</v>
      </c>
      <c r="TN13" s="43"/>
      <c r="TO13" s="43">
        <v>-1035623.1699999999</v>
      </c>
      <c r="TQ13" s="43">
        <v>0</v>
      </c>
      <c r="TS13" s="43">
        <v>0</v>
      </c>
      <c r="TU13" s="43">
        <v>0</v>
      </c>
      <c r="TW13" s="43">
        <f t="shared" si="29"/>
        <v>-4372845.17</v>
      </c>
      <c r="TX13" s="67"/>
      <c r="TY13" s="59" t="s">
        <v>87</v>
      </c>
      <c r="TZ13" s="43">
        <v>-2538695.58</v>
      </c>
      <c r="UA13" s="43"/>
      <c r="UB13" s="43">
        <v>-769207.41999999993</v>
      </c>
      <c r="UD13" s="43">
        <v>0</v>
      </c>
      <c r="UF13" s="43">
        <v>0</v>
      </c>
      <c r="UH13" s="43">
        <v>0</v>
      </c>
      <c r="UJ13" s="43">
        <f t="shared" si="30"/>
        <v>-3307903</v>
      </c>
      <c r="UK13" s="67"/>
      <c r="UL13" s="67" t="s">
        <v>87</v>
      </c>
      <c r="UM13" s="43">
        <v>-1937924.8</v>
      </c>
      <c r="UN13" s="43"/>
      <c r="UO13" s="43">
        <v>-497948</v>
      </c>
      <c r="UQ13" s="43">
        <v>0</v>
      </c>
      <c r="US13" s="43">
        <v>0</v>
      </c>
      <c r="UU13" s="43">
        <v>0</v>
      </c>
      <c r="UW13" s="43">
        <v>-2435872.7999999998</v>
      </c>
      <c r="UX13" s="67"/>
      <c r="UY13" s="67" t="s">
        <v>87</v>
      </c>
      <c r="UZ13" s="43">
        <f>-610.14752*1000</f>
        <v>-610147.52</v>
      </c>
      <c r="VA13" s="43"/>
      <c r="VB13" s="43">
        <f>-241.218*1000</f>
        <v>-241218</v>
      </c>
      <c r="VD13" s="43">
        <v>0</v>
      </c>
      <c r="VF13" s="43">
        <v>0</v>
      </c>
      <c r="VH13" s="43">
        <v>0</v>
      </c>
      <c r="VJ13" s="43">
        <f>-851.36552*1000</f>
        <v>-851365.5199999999</v>
      </c>
      <c r="VK13" s="67"/>
      <c r="VL13" s="60" t="s">
        <v>87</v>
      </c>
      <c r="VM13" s="43">
        <v>-2981767.59</v>
      </c>
      <c r="VN13" s="43"/>
      <c r="VO13" s="43">
        <v>-1242661</v>
      </c>
      <c r="VQ13" s="43">
        <v>0</v>
      </c>
      <c r="VS13" s="43">
        <v>0</v>
      </c>
      <c r="VU13" s="43">
        <v>0</v>
      </c>
      <c r="VW13" s="43">
        <f t="shared" si="31"/>
        <v>-4224428.59</v>
      </c>
      <c r="VX13" s="67"/>
      <c r="VY13" s="60" t="s">
        <v>87</v>
      </c>
      <c r="VZ13" s="43">
        <f>-2234530.66+95635.35</f>
        <v>-2138895.31</v>
      </c>
      <c r="WA13" s="43"/>
      <c r="WB13" s="43">
        <v>-935780.30781045405</v>
      </c>
      <c r="WJ13" s="43">
        <f t="shared" si="32"/>
        <v>-3074675.6178104542</v>
      </c>
      <c r="WK13" s="67"/>
      <c r="WL13" s="67" t="s">
        <v>87</v>
      </c>
      <c r="WM13" s="43">
        <v>-1350483.36</v>
      </c>
      <c r="WN13" s="43"/>
      <c r="WO13" s="43">
        <v>-628057.5</v>
      </c>
      <c r="WP13" s="43">
        <v>0</v>
      </c>
      <c r="WQ13" s="43">
        <v>0</v>
      </c>
      <c r="WR13" s="43">
        <v>0</v>
      </c>
      <c r="WS13" s="43">
        <v>0</v>
      </c>
      <c r="WT13" s="43">
        <v>0</v>
      </c>
      <c r="WU13" s="43">
        <v>0</v>
      </c>
      <c r="WW13" s="43">
        <v>1978540.8599999999</v>
      </c>
      <c r="WX13" s="43"/>
      <c r="WY13" s="67" t="s">
        <v>87</v>
      </c>
      <c r="WZ13" s="43">
        <f>-596.55555*1000</f>
        <v>-596555.55000000005</v>
      </c>
      <c r="XA13" s="43"/>
      <c r="XB13" s="43">
        <f>-308.34936*1000</f>
        <v>-308349.36</v>
      </c>
      <c r="XD13" s="43">
        <v>0</v>
      </c>
      <c r="XF13" s="43">
        <v>0</v>
      </c>
      <c r="XH13" s="43">
        <v>0</v>
      </c>
      <c r="XJ13" s="43">
        <f>-904.90491*1000</f>
        <v>-904904.90999999992</v>
      </c>
      <c r="XK13" s="43"/>
      <c r="XL13" s="67" t="s">
        <v>87</v>
      </c>
      <c r="XM13" s="43">
        <v>-2382260.66</v>
      </c>
      <c r="XN13" s="43"/>
      <c r="XO13" s="43">
        <v>-1348990.06</v>
      </c>
      <c r="XQ13" s="43">
        <v>0</v>
      </c>
      <c r="XS13" s="43">
        <v>0</v>
      </c>
      <c r="XU13" s="43">
        <v>113301</v>
      </c>
      <c r="XW13" s="43">
        <f t="shared" si="33"/>
        <v>-3617949.72</v>
      </c>
      <c r="XX13" s="43"/>
      <c r="XY13" s="60" t="s">
        <v>87</v>
      </c>
      <c r="XZ13" s="43">
        <f>-1721223.61</f>
        <v>-1721223.61</v>
      </c>
      <c r="YA13" s="43"/>
      <c r="YB13" s="43">
        <v>-996337.7</v>
      </c>
      <c r="YJ13" s="43">
        <f t="shared" si="34"/>
        <v>-2717561.31</v>
      </c>
    </row>
    <row r="14" spans="1:660">
      <c r="A14" s="151" t="s">
        <v>88</v>
      </c>
      <c r="B14" s="43"/>
      <c r="C14" s="195"/>
      <c r="E14" s="195"/>
      <c r="F14" s="43"/>
      <c r="G14" s="195"/>
      <c r="I14" s="195"/>
      <c r="K14" s="195"/>
      <c r="L14" s="195"/>
      <c r="O14" s="151" t="s">
        <v>88</v>
      </c>
      <c r="P14" s="43"/>
      <c r="Q14" s="195"/>
      <c r="S14" s="195"/>
      <c r="T14" s="43"/>
      <c r="U14" s="195"/>
      <c r="W14" s="195"/>
      <c r="Y14" s="195"/>
      <c r="Z14" s="195"/>
      <c r="AC14" s="151" t="s">
        <v>88</v>
      </c>
      <c r="AD14" s="43"/>
      <c r="AE14" s="195"/>
      <c r="AG14" s="195"/>
      <c r="AH14" s="43"/>
      <c r="AI14" s="195"/>
      <c r="AK14" s="195"/>
      <c r="AM14" s="195"/>
      <c r="AN14" s="195"/>
      <c r="AQ14" s="151" t="s">
        <v>88</v>
      </c>
      <c r="AR14" s="43">
        <v>0</v>
      </c>
      <c r="AS14" s="194"/>
      <c r="AT14" s="43">
        <v>0</v>
      </c>
      <c r="AU14" s="164"/>
      <c r="AV14" s="43">
        <v>0</v>
      </c>
      <c r="AW14" s="164"/>
      <c r="AX14" s="43">
        <v>-4320356.3312439993</v>
      </c>
      <c r="AY14" s="164"/>
      <c r="AZ14" s="43">
        <v>35400</v>
      </c>
      <c r="BA14" s="195"/>
      <c r="BB14" s="195">
        <f t="shared" si="0"/>
        <v>-4284956.3312439993</v>
      </c>
      <c r="BE14" s="151" t="s">
        <v>88</v>
      </c>
      <c r="BF14" s="43">
        <v>0</v>
      </c>
      <c r="BG14" s="195"/>
      <c r="BH14" s="43">
        <v>0</v>
      </c>
      <c r="BI14" s="195"/>
      <c r="BJ14" s="43">
        <v>0</v>
      </c>
      <c r="BK14" s="195"/>
      <c r="BL14" s="43">
        <v>-15697981.010921672</v>
      </c>
      <c r="BM14" s="195"/>
      <c r="BN14" s="43">
        <v>141600</v>
      </c>
      <c r="BO14" s="195"/>
      <c r="BP14" s="195">
        <f t="shared" si="1"/>
        <v>-15556381.010921672</v>
      </c>
      <c r="BS14" s="151" t="s">
        <v>88</v>
      </c>
      <c r="BT14" s="43">
        <v>0</v>
      </c>
      <c r="BU14" s="195"/>
      <c r="BV14" s="43">
        <v>0</v>
      </c>
      <c r="BW14" s="195"/>
      <c r="BX14" s="43">
        <v>0</v>
      </c>
      <c r="BY14" s="195"/>
      <c r="BZ14" s="43">
        <v>-10676429.491146557</v>
      </c>
      <c r="CA14" s="195"/>
      <c r="CB14" s="43">
        <v>106200</v>
      </c>
      <c r="CC14" s="195"/>
      <c r="CD14" s="195">
        <f t="shared" si="2"/>
        <v>-10570229.491146557</v>
      </c>
      <c r="CG14" s="151" t="s">
        <v>88</v>
      </c>
      <c r="CH14" s="43">
        <v>0</v>
      </c>
      <c r="CI14" s="195"/>
      <c r="CJ14" s="43">
        <v>0</v>
      </c>
      <c r="CK14" s="195"/>
      <c r="CL14" s="43">
        <v>0</v>
      </c>
      <c r="CM14" s="195"/>
      <c r="CN14" s="43">
        <v>-7134479.1845651669</v>
      </c>
      <c r="CO14" s="195"/>
      <c r="CP14" s="43">
        <v>70800.004565167241</v>
      </c>
      <c r="CQ14" s="195"/>
      <c r="CR14" s="195">
        <f t="shared" si="3"/>
        <v>-7063679.1799999997</v>
      </c>
      <c r="CU14" s="151" t="s">
        <v>88</v>
      </c>
      <c r="CV14" s="43">
        <v>0</v>
      </c>
      <c r="CW14" s="195"/>
      <c r="CX14" s="43">
        <v>0</v>
      </c>
      <c r="CY14" s="195"/>
      <c r="CZ14" s="43">
        <v>0</v>
      </c>
      <c r="DA14" s="195"/>
      <c r="DB14" s="43">
        <v>-4468985.7421833333</v>
      </c>
      <c r="DC14" s="195"/>
      <c r="DD14" s="43">
        <v>35400</v>
      </c>
      <c r="DE14" s="195"/>
      <c r="DF14" s="195">
        <f t="shared" si="4"/>
        <v>-4433585.7421833333</v>
      </c>
      <c r="DI14" s="151" t="s">
        <v>88</v>
      </c>
      <c r="DJ14" s="164">
        <v>0</v>
      </c>
      <c r="DK14" s="195"/>
      <c r="DL14" s="164">
        <v>0</v>
      </c>
      <c r="DM14" s="195"/>
      <c r="DN14" s="164">
        <v>0</v>
      </c>
      <c r="DO14" s="195"/>
      <c r="DP14" s="164">
        <v>-13797518.915237667</v>
      </c>
      <c r="DQ14" s="195"/>
      <c r="DR14" s="164">
        <v>142394.99523766711</v>
      </c>
      <c r="DS14" s="195"/>
      <c r="DT14" s="195">
        <f t="shared" si="5"/>
        <v>-13655123.92</v>
      </c>
      <c r="DW14" s="151" t="s">
        <v>88</v>
      </c>
      <c r="DX14" s="43">
        <v>0</v>
      </c>
      <c r="DY14" s="149"/>
      <c r="DZ14" s="43">
        <v>0</v>
      </c>
      <c r="EA14" s="149"/>
      <c r="EB14" s="43">
        <v>0</v>
      </c>
      <c r="EC14" s="149"/>
      <c r="ED14" s="43">
        <v>-8797925.6851624474</v>
      </c>
      <c r="EE14" s="149"/>
      <c r="EF14" s="43">
        <v>104362.5</v>
      </c>
      <c r="EG14" s="149"/>
      <c r="EH14" s="149">
        <f t="shared" si="35"/>
        <v>-8693563.1851624474</v>
      </c>
      <c r="EK14" s="151" t="s">
        <v>88</v>
      </c>
      <c r="EL14" s="43">
        <v>0</v>
      </c>
      <c r="EM14" s="149"/>
      <c r="EN14" s="43">
        <v>0</v>
      </c>
      <c r="EO14" s="149"/>
      <c r="EP14" s="43">
        <v>0</v>
      </c>
      <c r="EQ14" s="149"/>
      <c r="ER14" s="43">
        <v>-5462996.9248309992</v>
      </c>
      <c r="ES14" s="149"/>
      <c r="ET14" s="43">
        <v>65452.5</v>
      </c>
      <c r="EU14" s="149"/>
      <c r="EV14" s="149">
        <f t="shared" si="6"/>
        <v>-5397544.4248309992</v>
      </c>
      <c r="EY14" s="151" t="s">
        <v>88</v>
      </c>
      <c r="EZ14" s="43">
        <v>0</v>
      </c>
      <c r="FA14" s="149"/>
      <c r="FB14" s="43">
        <v>0</v>
      </c>
      <c r="FC14" s="149"/>
      <c r="FD14" s="43">
        <v>0</v>
      </c>
      <c r="FE14" s="149"/>
      <c r="FF14" s="43">
        <v>-2692651.96</v>
      </c>
      <c r="FG14" s="149"/>
      <c r="FH14" s="43">
        <v>31665</v>
      </c>
      <c r="FI14" s="149"/>
      <c r="FJ14" s="149">
        <f t="shared" si="7"/>
        <v>-2660986.96</v>
      </c>
      <c r="FM14" s="151" t="s">
        <v>88</v>
      </c>
      <c r="FN14" s="43">
        <v>0</v>
      </c>
      <c r="FO14" s="149"/>
      <c r="FP14" s="43">
        <v>0</v>
      </c>
      <c r="FQ14" s="149"/>
      <c r="FR14" s="43">
        <v>0</v>
      </c>
      <c r="FS14" s="149"/>
      <c r="FT14" s="43">
        <v>-9880448.9109173324</v>
      </c>
      <c r="FU14" s="149"/>
      <c r="FV14" s="43">
        <v>360559.41000000003</v>
      </c>
      <c r="FW14" s="149"/>
      <c r="FX14" s="149">
        <f t="shared" si="8"/>
        <v>-9519889.5009173322</v>
      </c>
      <c r="GA14" s="151" t="s">
        <v>88</v>
      </c>
      <c r="GB14" s="43">
        <v>0</v>
      </c>
      <c r="GC14" s="149"/>
      <c r="GD14" s="43">
        <v>0</v>
      </c>
      <c r="GE14" s="149"/>
      <c r="GF14" s="43">
        <v>0</v>
      </c>
      <c r="GG14" s="149"/>
      <c r="GH14" s="43">
        <v>-7046596.9466873314</v>
      </c>
      <c r="GI14" s="149"/>
      <c r="GJ14" s="43">
        <v>114366.76999999999</v>
      </c>
      <c r="GK14" s="149"/>
      <c r="GL14" s="149">
        <f t="shared" si="36"/>
        <v>-6932230.1766873319</v>
      </c>
      <c r="GO14" s="151" t="s">
        <v>88</v>
      </c>
      <c r="GP14" s="43">
        <v>0</v>
      </c>
      <c r="GQ14" s="149"/>
      <c r="GR14" s="43">
        <v>0</v>
      </c>
      <c r="GS14" s="149"/>
      <c r="GT14" s="43">
        <v>0</v>
      </c>
      <c r="GU14" s="149"/>
      <c r="GV14" s="156">
        <v>-4422245.078857</v>
      </c>
      <c r="GW14" s="149"/>
      <c r="GX14" s="43">
        <v>142645.8216655</v>
      </c>
      <c r="GY14" s="149"/>
      <c r="GZ14" s="149">
        <f t="shared" si="9"/>
        <v>-4279599.2571914997</v>
      </c>
      <c r="HC14" s="151" t="s">
        <v>88</v>
      </c>
      <c r="HD14" s="43">
        <v>0</v>
      </c>
      <c r="HE14" s="149"/>
      <c r="HF14" s="43">
        <v>0</v>
      </c>
      <c r="HG14" s="149"/>
      <c r="HH14" s="43">
        <v>0</v>
      </c>
      <c r="HI14" s="149"/>
      <c r="HJ14" s="43">
        <v>-2063855.77</v>
      </c>
      <c r="HK14" s="149"/>
      <c r="HL14" s="43">
        <v>28879.300000000003</v>
      </c>
      <c r="HM14" s="149"/>
      <c r="HN14" s="149">
        <f t="shared" si="10"/>
        <v>-2034976.47</v>
      </c>
      <c r="HQ14" s="151" t="s">
        <v>88</v>
      </c>
      <c r="HR14" s="43">
        <v>0</v>
      </c>
      <c r="HS14" s="149"/>
      <c r="HT14" s="43">
        <v>0</v>
      </c>
      <c r="HU14" s="149"/>
      <c r="HV14" s="43">
        <v>0</v>
      </c>
      <c r="HW14" s="149"/>
      <c r="HX14" s="43">
        <v>-6921290.5999999996</v>
      </c>
      <c r="HY14" s="149"/>
      <c r="HZ14" s="43">
        <v>140336.48000000001</v>
      </c>
      <c r="IA14" s="149"/>
      <c r="IB14" s="149">
        <f t="shared" si="11"/>
        <v>-6780954.1199999992</v>
      </c>
      <c r="IE14" s="151" t="s">
        <v>88</v>
      </c>
      <c r="IF14" s="43">
        <v>0</v>
      </c>
      <c r="IG14" s="149"/>
      <c r="IH14" s="43">
        <v>0</v>
      </c>
      <c r="II14" s="149"/>
      <c r="IJ14" s="43">
        <v>0</v>
      </c>
      <c r="IK14" s="149"/>
      <c r="IL14" s="43">
        <v>-5141006.13</v>
      </c>
      <c r="IM14" s="149"/>
      <c r="IN14" s="43">
        <v>104318.61</v>
      </c>
      <c r="IO14" s="149"/>
      <c r="IP14" s="149">
        <f t="shared" si="37"/>
        <v>-5036687.5199999996</v>
      </c>
      <c r="IS14" s="151" t="s">
        <v>88</v>
      </c>
      <c r="IT14" s="43">
        <v>0</v>
      </c>
      <c r="IU14" s="149"/>
      <c r="IV14" s="43">
        <v>0</v>
      </c>
      <c r="IW14" s="149"/>
      <c r="IX14" s="43">
        <v>0</v>
      </c>
      <c r="IY14" s="149"/>
      <c r="IZ14" s="43">
        <v>-3516670.95</v>
      </c>
      <c r="JA14" s="149"/>
      <c r="JB14" s="43">
        <v>67423.240000000005</v>
      </c>
      <c r="JC14" s="149"/>
      <c r="JD14" s="149">
        <f t="shared" si="12"/>
        <v>-3449247.71</v>
      </c>
      <c r="JG14" s="151" t="s">
        <v>88</v>
      </c>
      <c r="JH14" s="43">
        <v>0</v>
      </c>
      <c r="JI14" s="149"/>
      <c r="JJ14" s="43">
        <v>0</v>
      </c>
      <c r="JK14" s="149"/>
      <c r="JL14" s="43">
        <v>0</v>
      </c>
      <c r="JM14" s="149"/>
      <c r="JN14" s="43">
        <v>-1722764.5</v>
      </c>
      <c r="JO14" s="149"/>
      <c r="JP14" s="43">
        <v>38425.370000000003</v>
      </c>
      <c r="JQ14" s="149"/>
      <c r="JR14" s="149">
        <f t="shared" si="13"/>
        <v>-1684339.13</v>
      </c>
      <c r="JU14" s="151" t="s">
        <v>88</v>
      </c>
      <c r="JV14" s="43">
        <v>0</v>
      </c>
      <c r="JW14" s="149"/>
      <c r="JX14" s="43">
        <v>0</v>
      </c>
      <c r="JY14" s="149"/>
      <c r="JZ14" s="43">
        <v>0</v>
      </c>
      <c r="KA14" s="149"/>
      <c r="KB14" s="43">
        <v>-6886003.5099999998</v>
      </c>
      <c r="KC14" s="149"/>
      <c r="KD14" s="43">
        <v>166526.48000000001</v>
      </c>
      <c r="KE14" s="149"/>
      <c r="KF14" s="149">
        <f t="shared" si="14"/>
        <v>-6719477.0299999993</v>
      </c>
      <c r="KG14" s="150"/>
      <c r="KH14" s="150"/>
      <c r="KI14" s="151" t="s">
        <v>88</v>
      </c>
      <c r="KJ14" s="43">
        <v>0</v>
      </c>
      <c r="KK14" s="149"/>
      <c r="KL14" s="43">
        <v>0</v>
      </c>
      <c r="KM14" s="149"/>
      <c r="KN14" s="43">
        <v>0</v>
      </c>
      <c r="KO14" s="149"/>
      <c r="KP14" s="43">
        <v>-5150328.9800000004</v>
      </c>
      <c r="KQ14" s="149"/>
      <c r="KR14" s="43">
        <v>123173.61</v>
      </c>
      <c r="KS14" s="149"/>
      <c r="KT14" s="149">
        <f t="shared" si="38"/>
        <v>-5027155.37</v>
      </c>
      <c r="KU14" s="150"/>
      <c r="KV14" s="150"/>
      <c r="KW14" s="151" t="s">
        <v>88</v>
      </c>
      <c r="KX14" s="43">
        <v>0</v>
      </c>
      <c r="KY14" s="149"/>
      <c r="KZ14" s="43">
        <v>0</v>
      </c>
      <c r="LA14" s="149"/>
      <c r="LB14" s="43">
        <v>0</v>
      </c>
      <c r="LC14" s="149"/>
      <c r="LD14" s="43">
        <v>-3726788.5700000003</v>
      </c>
      <c r="LE14" s="149"/>
      <c r="LF14" s="43">
        <v>82993.240000000005</v>
      </c>
      <c r="LG14" s="149"/>
      <c r="LH14" s="149">
        <f t="shared" si="39"/>
        <v>-3643795.33</v>
      </c>
      <c r="LI14" s="150"/>
      <c r="LJ14" s="151" t="s">
        <v>88</v>
      </c>
      <c r="LK14" s="43">
        <v>0</v>
      </c>
      <c r="LL14" s="149"/>
      <c r="LM14" s="43">
        <v>0</v>
      </c>
      <c r="LN14" s="149"/>
      <c r="LO14" s="43">
        <v>0</v>
      </c>
      <c r="LQ14" s="43">
        <v>-1889511</v>
      </c>
      <c r="LS14" s="43">
        <v>37660.370000000003</v>
      </c>
      <c r="LU14" s="43">
        <f t="shared" si="15"/>
        <v>-1851850.63</v>
      </c>
      <c r="LW14" s="151" t="s">
        <v>88</v>
      </c>
      <c r="LX14" s="43">
        <v>0</v>
      </c>
      <c r="LY14" s="149"/>
      <c r="LZ14" s="43">
        <v>0</v>
      </c>
      <c r="MA14" s="149"/>
      <c r="MB14" s="43">
        <v>0</v>
      </c>
      <c r="MC14" s="149"/>
      <c r="MD14" s="43">
        <v>-9482750.3600000013</v>
      </c>
      <c r="ME14" s="149"/>
      <c r="MF14" s="43">
        <v>193940.75</v>
      </c>
      <c r="MG14" s="149"/>
      <c r="MH14" s="149">
        <f t="shared" si="16"/>
        <v>-9288809.6100000013</v>
      </c>
      <c r="MI14" s="150"/>
      <c r="MJ14" s="150"/>
      <c r="MK14" s="151" t="s">
        <v>88</v>
      </c>
      <c r="ML14" s="43">
        <v>0</v>
      </c>
      <c r="MM14" s="149"/>
      <c r="MN14" s="43">
        <v>0</v>
      </c>
      <c r="MO14" s="149"/>
      <c r="MP14" s="43">
        <v>0</v>
      </c>
      <c r="MQ14" s="149"/>
      <c r="MR14" s="43">
        <v>-6348427.5899999999</v>
      </c>
      <c r="MS14" s="149"/>
      <c r="MT14" s="43">
        <v>137887.5</v>
      </c>
      <c r="MU14" s="149"/>
      <c r="MV14" s="149">
        <f t="shared" si="40"/>
        <v>-6210540.0899999999</v>
      </c>
      <c r="MW14" s="150"/>
      <c r="MX14" s="150"/>
      <c r="MY14" s="151" t="s">
        <v>88</v>
      </c>
      <c r="MZ14" s="43">
        <v>0</v>
      </c>
      <c r="NA14" s="149"/>
      <c r="NB14" s="43">
        <v>0</v>
      </c>
      <c r="NC14" s="149"/>
      <c r="ND14" s="43">
        <v>0</v>
      </c>
      <c r="NE14" s="149"/>
      <c r="NF14" s="43">
        <v>-4374219.32</v>
      </c>
      <c r="NG14" s="149"/>
      <c r="NH14" s="43">
        <v>54112.5</v>
      </c>
      <c r="NI14" s="149"/>
      <c r="NJ14" s="149">
        <f t="shared" si="41"/>
        <v>-4320106.82</v>
      </c>
      <c r="NK14" s="150"/>
      <c r="NL14" s="151" t="s">
        <v>88</v>
      </c>
      <c r="NM14" s="43">
        <v>0</v>
      </c>
      <c r="NN14" s="149"/>
      <c r="NO14" s="43">
        <v>0</v>
      </c>
      <c r="NP14" s="149"/>
      <c r="NQ14" s="158">
        <v>0</v>
      </c>
      <c r="NS14" s="43">
        <v>-2110905.8800000004</v>
      </c>
      <c r="NU14" s="43">
        <v>0</v>
      </c>
      <c r="NW14" s="43">
        <f t="shared" si="17"/>
        <v>-2110905.8800000004</v>
      </c>
      <c r="NY14" s="59" t="s">
        <v>88</v>
      </c>
      <c r="NZ14" s="43">
        <v>0</v>
      </c>
      <c r="OA14" s="43">
        <v>0</v>
      </c>
      <c r="OB14" s="43">
        <v>0</v>
      </c>
      <c r="OD14" s="43">
        <v>0</v>
      </c>
      <c r="OF14" s="43">
        <v>-9737818.1300000008</v>
      </c>
      <c r="OH14" s="43">
        <v>0</v>
      </c>
      <c r="OJ14" s="43">
        <f t="shared" si="18"/>
        <v>-9737818.1300000008</v>
      </c>
      <c r="OK14" s="67"/>
      <c r="OL14" s="59" t="s">
        <v>88</v>
      </c>
      <c r="OM14" s="43">
        <v>0</v>
      </c>
      <c r="ON14" s="43"/>
      <c r="OO14" s="43">
        <v>0</v>
      </c>
      <c r="OQ14" s="130">
        <v>0</v>
      </c>
      <c r="OS14" s="43">
        <v>-10503878.579999998</v>
      </c>
      <c r="OU14" s="43">
        <v>43653.129999999976</v>
      </c>
      <c r="OW14" s="43">
        <f t="shared" si="19"/>
        <v>-10460225.449999997</v>
      </c>
      <c r="OX14" s="67"/>
      <c r="OY14" s="152" t="s">
        <v>88</v>
      </c>
      <c r="OZ14" s="43">
        <v>0</v>
      </c>
      <c r="PA14" s="43"/>
      <c r="PB14" s="43">
        <v>0</v>
      </c>
      <c r="PD14" s="130"/>
      <c r="PF14" s="43">
        <v>-8609510.4699999988</v>
      </c>
      <c r="PH14" s="43">
        <v>47480</v>
      </c>
      <c r="PJ14" s="43">
        <f t="shared" si="20"/>
        <v>-8562030.4699999988</v>
      </c>
      <c r="PK14" s="67"/>
      <c r="PL14" s="59" t="s">
        <v>88</v>
      </c>
      <c r="PM14" s="43">
        <v>0</v>
      </c>
      <c r="PN14" s="43"/>
      <c r="PO14" s="43">
        <v>0</v>
      </c>
      <c r="PQ14" s="130"/>
      <c r="PS14" s="43">
        <v>-6920386.2199999997</v>
      </c>
      <c r="PU14" s="43">
        <v>87990.8</v>
      </c>
      <c r="PW14" s="43">
        <f t="shared" si="21"/>
        <v>-6832395.4199999999</v>
      </c>
      <c r="PX14" s="67"/>
      <c r="PY14" s="59" t="s">
        <v>88</v>
      </c>
      <c r="PZ14" s="43">
        <v>0</v>
      </c>
      <c r="QA14" s="43"/>
      <c r="QB14" s="43">
        <v>0</v>
      </c>
      <c r="QD14" s="43">
        <v>0</v>
      </c>
      <c r="QF14" s="43">
        <v>-5065645.01</v>
      </c>
      <c r="QH14" s="43">
        <v>66090.8</v>
      </c>
      <c r="QJ14" s="43">
        <f t="shared" si="22"/>
        <v>-4999554.21</v>
      </c>
      <c r="QK14" s="67"/>
      <c r="QL14" s="59" t="s">
        <v>88</v>
      </c>
      <c r="QM14" s="43"/>
      <c r="QN14" s="43"/>
      <c r="QS14" s="43">
        <v>-3561416.86</v>
      </c>
      <c r="QU14" s="43">
        <v>44190.8</v>
      </c>
      <c r="QW14" s="43">
        <f t="shared" si="23"/>
        <v>-3517226.06</v>
      </c>
      <c r="QX14" s="67"/>
      <c r="QY14" s="59" t="s">
        <v>88</v>
      </c>
      <c r="QZ14" s="43"/>
      <c r="RA14" s="43"/>
      <c r="RF14" s="43">
        <v>-1745142.86</v>
      </c>
      <c r="RH14" s="43">
        <v>22104</v>
      </c>
      <c r="RJ14" s="43">
        <f t="shared" si="24"/>
        <v>-1723038.86</v>
      </c>
      <c r="RK14" s="67"/>
      <c r="RL14" s="59" t="s">
        <v>88</v>
      </c>
      <c r="RM14" s="43"/>
      <c r="RN14" s="43"/>
      <c r="RS14" s="43">
        <v>-7078555.9199999999</v>
      </c>
      <c r="RU14" s="43">
        <v>89495.16</v>
      </c>
      <c r="RW14" s="43">
        <f t="shared" si="25"/>
        <v>-6989060.7599999998</v>
      </c>
      <c r="RX14" s="67"/>
      <c r="RY14" s="59" t="s">
        <v>88</v>
      </c>
      <c r="RZ14" s="43"/>
      <c r="SA14" s="43"/>
      <c r="SF14" s="43">
        <v>-5465297.79</v>
      </c>
      <c r="SH14" s="43">
        <v>66053.56</v>
      </c>
      <c r="SJ14" s="43">
        <f t="shared" si="26"/>
        <v>-5399244.2300000004</v>
      </c>
      <c r="SK14" s="67"/>
      <c r="SL14" s="59" t="s">
        <v>88</v>
      </c>
      <c r="SM14" s="43"/>
      <c r="SN14" s="43"/>
      <c r="SS14" s="43">
        <v>-3516750.9</v>
      </c>
      <c r="SU14" s="43">
        <v>43949.56</v>
      </c>
      <c r="SW14" s="43">
        <f t="shared" si="27"/>
        <v>-3472801.34</v>
      </c>
      <c r="SX14" s="67"/>
      <c r="SY14" s="59" t="s">
        <v>88</v>
      </c>
      <c r="SZ14" s="43"/>
      <c r="TA14" s="43"/>
      <c r="TF14" s="43">
        <v>-1530594.67</v>
      </c>
      <c r="TH14" s="43">
        <v>22414.44</v>
      </c>
      <c r="TJ14" s="43">
        <f t="shared" si="28"/>
        <v>-1508180.23</v>
      </c>
      <c r="TK14" s="67"/>
      <c r="TL14" s="59" t="s">
        <v>88</v>
      </c>
      <c r="TM14" s="43"/>
      <c r="TN14" s="43"/>
      <c r="TS14" s="43">
        <v>-6474369.2999999998</v>
      </c>
      <c r="TU14" s="43">
        <v>89271.700000000201</v>
      </c>
      <c r="TW14" s="43">
        <f t="shared" si="29"/>
        <v>-6385097.5999999996</v>
      </c>
      <c r="TX14" s="67"/>
      <c r="TY14" s="59" t="s">
        <v>88</v>
      </c>
      <c r="TZ14" s="43"/>
      <c r="UA14" s="43"/>
      <c r="UB14" s="43">
        <v>0</v>
      </c>
      <c r="UD14" s="43">
        <v>0</v>
      </c>
      <c r="UF14" s="43">
        <v>-4913829.3</v>
      </c>
      <c r="UH14" s="43">
        <v>67322.740000000005</v>
      </c>
      <c r="UJ14" s="43">
        <f t="shared" si="30"/>
        <v>-4846506.5599999996</v>
      </c>
      <c r="UK14" s="67"/>
      <c r="UL14" s="67" t="s">
        <v>88</v>
      </c>
      <c r="UM14" s="43">
        <v>0</v>
      </c>
      <c r="UN14" s="43"/>
      <c r="UO14" s="43">
        <v>0</v>
      </c>
      <c r="UQ14" s="43">
        <v>0</v>
      </c>
      <c r="US14" s="43">
        <v>-3245308.12</v>
      </c>
      <c r="UU14" s="43">
        <v>45005.42</v>
      </c>
      <c r="UW14" s="43">
        <v>-3200302.7</v>
      </c>
      <c r="UX14" s="67"/>
      <c r="UY14" s="67" t="s">
        <v>88</v>
      </c>
      <c r="UZ14" s="43">
        <v>0</v>
      </c>
      <c r="VA14" s="43"/>
      <c r="VB14" s="43">
        <v>0</v>
      </c>
      <c r="VD14" s="43">
        <v>0</v>
      </c>
      <c r="VF14" s="43">
        <f>-1607.25286*1000</f>
        <v>-1607252.86</v>
      </c>
      <c r="VH14" s="43">
        <f>22.53979*1000</f>
        <v>22539.79</v>
      </c>
      <c r="VJ14" s="43">
        <f>-1584.71307*1000</f>
        <v>-1584713.07</v>
      </c>
      <c r="VK14" s="67"/>
      <c r="VL14" s="60" t="s">
        <v>88</v>
      </c>
      <c r="VM14" s="43">
        <v>0</v>
      </c>
      <c r="VN14" s="43"/>
      <c r="VO14" s="43">
        <v>0</v>
      </c>
      <c r="VQ14" s="43">
        <v>0</v>
      </c>
      <c r="VS14" s="43">
        <v>-6382737.8600000003</v>
      </c>
      <c r="VU14" s="43">
        <v>15888.27</v>
      </c>
      <c r="VW14" s="43">
        <f t="shared" si="31"/>
        <v>-6366849.5900000008</v>
      </c>
      <c r="VX14" s="67"/>
      <c r="VY14" s="60" t="s">
        <v>88</v>
      </c>
      <c r="VZ14" s="43"/>
      <c r="WA14" s="43"/>
      <c r="WF14" s="43">
        <f>-3165.6171*1000-991050.6</f>
        <v>-4156667.7</v>
      </c>
      <c r="WH14" s="43">
        <f>4.9575*1000</f>
        <v>4957.5</v>
      </c>
      <c r="WJ14" s="43">
        <f t="shared" si="32"/>
        <v>-4151710.2</v>
      </c>
      <c r="WK14" s="67"/>
      <c r="WL14" s="67" t="s">
        <v>88</v>
      </c>
      <c r="WM14" s="43">
        <v>0</v>
      </c>
      <c r="WN14" s="43"/>
      <c r="WO14" s="43">
        <v>0</v>
      </c>
      <c r="WP14" s="43">
        <v>0</v>
      </c>
      <c r="WQ14" s="43">
        <v>0</v>
      </c>
      <c r="WR14" s="43">
        <v>0</v>
      </c>
      <c r="WS14" s="43">
        <v>-2977438.99</v>
      </c>
      <c r="WT14" s="43">
        <v>0</v>
      </c>
      <c r="WU14" s="43">
        <v>3305.00000000008</v>
      </c>
      <c r="WW14" s="43">
        <v>2974133.9900000012</v>
      </c>
      <c r="WX14" s="43"/>
      <c r="WY14" s="67" t="s">
        <v>88</v>
      </c>
      <c r="WZ14" s="43">
        <v>0</v>
      </c>
      <c r="XA14" s="43"/>
      <c r="XB14" s="43">
        <v>0</v>
      </c>
      <c r="XD14" s="43">
        <v>0</v>
      </c>
      <c r="XF14" s="43">
        <f>-1300.26665*1000</f>
        <v>-1300266.6500000001</v>
      </c>
      <c r="XH14" s="43">
        <f>1.653*1000</f>
        <v>1653</v>
      </c>
      <c r="XJ14" s="43">
        <f>-1298.61365*1000</f>
        <v>-1298613.6499999999</v>
      </c>
      <c r="XK14" s="43"/>
      <c r="XL14" s="67" t="s">
        <v>88</v>
      </c>
      <c r="XM14" s="43">
        <v>0</v>
      </c>
      <c r="XN14" s="43"/>
      <c r="XO14" s="43">
        <v>0</v>
      </c>
      <c r="XQ14" s="43">
        <v>0</v>
      </c>
      <c r="XS14" s="43">
        <v>-6251593.9179722704</v>
      </c>
      <c r="XU14" s="43">
        <v>0</v>
      </c>
      <c r="XW14" s="43">
        <f t="shared" si="33"/>
        <v>-6251593.9179722704</v>
      </c>
      <c r="XX14" s="43"/>
      <c r="XY14" s="60" t="s">
        <v>88</v>
      </c>
      <c r="XZ14" s="43"/>
      <c r="YA14" s="43"/>
      <c r="YF14" s="43">
        <f>-3996.96228694099*1000+9439.51</f>
        <v>-3987522.7769409902</v>
      </c>
      <c r="YH14" s="43">
        <f>14.1362000000002*1000</f>
        <v>14136.200000000199</v>
      </c>
      <c r="YJ14" s="43">
        <f t="shared" si="34"/>
        <v>-3973386.5769409901</v>
      </c>
    </row>
    <row r="15" spans="1:660">
      <c r="A15" s="151" t="s">
        <v>264</v>
      </c>
      <c r="B15" s="43"/>
      <c r="C15" s="195"/>
      <c r="E15" s="195"/>
      <c r="F15" s="43"/>
      <c r="G15" s="195"/>
      <c r="I15" s="195"/>
      <c r="K15" s="195"/>
      <c r="L15" s="195"/>
      <c r="O15" s="151" t="s">
        <v>264</v>
      </c>
      <c r="P15" s="43"/>
      <c r="Q15" s="195"/>
      <c r="S15" s="195"/>
      <c r="T15" s="43"/>
      <c r="U15" s="195"/>
      <c r="W15" s="195"/>
      <c r="Y15" s="195"/>
      <c r="Z15" s="195"/>
      <c r="AC15" s="151" t="s">
        <v>264</v>
      </c>
      <c r="AD15" s="43"/>
      <c r="AE15" s="195"/>
      <c r="AG15" s="195"/>
      <c r="AH15" s="43"/>
      <c r="AI15" s="195"/>
      <c r="AK15" s="195"/>
      <c r="AM15" s="195"/>
      <c r="AN15" s="195"/>
      <c r="AQ15" s="151" t="s">
        <v>264</v>
      </c>
      <c r="AR15" s="43">
        <v>0</v>
      </c>
      <c r="AS15" s="194"/>
      <c r="AT15" s="43">
        <v>0</v>
      </c>
      <c r="AU15" s="164"/>
      <c r="AV15" s="43">
        <v>-4913144.5500000007</v>
      </c>
      <c r="AW15" s="164"/>
      <c r="AX15" s="43">
        <v>0</v>
      </c>
      <c r="AY15" s="164"/>
      <c r="AZ15" s="43">
        <v>0</v>
      </c>
      <c r="BA15" s="195"/>
      <c r="BB15" s="195">
        <f t="shared" si="0"/>
        <v>-4913144.5500000007</v>
      </c>
      <c r="BE15" s="151" t="s">
        <v>264</v>
      </c>
      <c r="BF15" s="43">
        <v>0</v>
      </c>
      <c r="BG15" s="195"/>
      <c r="BH15" s="43">
        <v>0</v>
      </c>
      <c r="BI15" s="195"/>
      <c r="BJ15" s="43">
        <v>-23285829.66</v>
      </c>
      <c r="BK15" s="195"/>
      <c r="BL15" s="43">
        <v>0</v>
      </c>
      <c r="BM15" s="195"/>
      <c r="BN15" s="43">
        <v>0</v>
      </c>
      <c r="BO15" s="195"/>
      <c r="BP15" s="195">
        <f t="shared" si="1"/>
        <v>-23285829.66</v>
      </c>
      <c r="BS15" s="151" t="s">
        <v>264</v>
      </c>
      <c r="BT15" s="43">
        <v>0</v>
      </c>
      <c r="BU15" s="195"/>
      <c r="BV15" s="43">
        <v>0</v>
      </c>
      <c r="BW15" s="195"/>
      <c r="BX15" s="43">
        <v>-17379400.859999999</v>
      </c>
      <c r="BY15" s="195"/>
      <c r="BZ15" s="43">
        <v>0</v>
      </c>
      <c r="CA15" s="195"/>
      <c r="CB15" s="43">
        <v>0</v>
      </c>
      <c r="CC15" s="195"/>
      <c r="CD15" s="195">
        <f t="shared" si="2"/>
        <v>-17379400.859999999</v>
      </c>
      <c r="CG15" s="151" t="s">
        <v>264</v>
      </c>
      <c r="CH15" s="43">
        <v>0</v>
      </c>
      <c r="CI15" s="195"/>
      <c r="CJ15" s="43">
        <v>0</v>
      </c>
      <c r="CK15" s="195"/>
      <c r="CL15" s="43">
        <v>-9309733.2799999993</v>
      </c>
      <c r="CM15" s="195"/>
      <c r="CN15" s="43">
        <v>0</v>
      </c>
      <c r="CO15" s="195"/>
      <c r="CP15" s="43">
        <v>0</v>
      </c>
      <c r="CQ15" s="195"/>
      <c r="CR15" s="195">
        <f t="shared" si="3"/>
        <v>-9309733.2799999993</v>
      </c>
      <c r="CU15" s="151" t="s">
        <v>264</v>
      </c>
      <c r="CV15" s="43">
        <v>0</v>
      </c>
      <c r="CW15" s="195"/>
      <c r="CX15" s="43">
        <v>0</v>
      </c>
      <c r="CY15" s="195"/>
      <c r="CZ15" s="43">
        <v>-4108606.5500000003</v>
      </c>
      <c r="DA15" s="195"/>
      <c r="DB15" s="43">
        <v>0</v>
      </c>
      <c r="DC15" s="195"/>
      <c r="DD15" s="43">
        <v>0</v>
      </c>
      <c r="DE15" s="195"/>
      <c r="DF15" s="195">
        <f t="shared" si="4"/>
        <v>-4108606.5500000003</v>
      </c>
      <c r="DI15" s="151" t="s">
        <v>264</v>
      </c>
      <c r="DJ15" s="164">
        <v>0</v>
      </c>
      <c r="DK15" s="195"/>
      <c r="DL15" s="164">
        <v>0</v>
      </c>
      <c r="DM15" s="195"/>
      <c r="DN15" s="164">
        <v>-16507883.68</v>
      </c>
      <c r="DO15" s="195"/>
      <c r="DP15" s="164">
        <v>0</v>
      </c>
      <c r="DQ15" s="195"/>
      <c r="DR15" s="164">
        <v>526000</v>
      </c>
      <c r="DS15" s="195"/>
      <c r="DT15" s="195">
        <f t="shared" si="5"/>
        <v>-15981883.68</v>
      </c>
      <c r="DW15" s="151" t="s">
        <v>264</v>
      </c>
      <c r="DX15" s="43">
        <v>0</v>
      </c>
      <c r="DY15" s="149"/>
      <c r="DZ15" s="43">
        <v>0</v>
      </c>
      <c r="EA15" s="149"/>
      <c r="EB15" s="43">
        <v>-11194005.91</v>
      </c>
      <c r="EC15" s="149"/>
      <c r="ED15" s="43">
        <v>0</v>
      </c>
      <c r="EE15" s="149"/>
      <c r="EF15" s="43">
        <v>526000</v>
      </c>
      <c r="EG15" s="149"/>
      <c r="EH15" s="149">
        <f t="shared" si="35"/>
        <v>-10668005.91</v>
      </c>
      <c r="EK15" s="151" t="s">
        <v>264</v>
      </c>
      <c r="EL15" s="43">
        <v>0</v>
      </c>
      <c r="EM15" s="149"/>
      <c r="EN15" s="43">
        <v>0</v>
      </c>
      <c r="EO15" s="149"/>
      <c r="EP15" s="43">
        <v>-6226171.3600000003</v>
      </c>
      <c r="EQ15" s="149"/>
      <c r="ER15" s="43">
        <v>0</v>
      </c>
      <c r="ES15" s="149"/>
      <c r="ET15" s="43">
        <v>0</v>
      </c>
      <c r="EU15" s="149"/>
      <c r="EV15" s="149">
        <f t="shared" si="6"/>
        <v>-6226171.3600000003</v>
      </c>
      <c r="EY15" s="151" t="s">
        <v>264</v>
      </c>
      <c r="EZ15" s="43">
        <v>0</v>
      </c>
      <c r="FA15" s="149"/>
      <c r="FB15" s="43">
        <v>0</v>
      </c>
      <c r="FC15" s="149"/>
      <c r="FD15" s="43">
        <v>-2250155.8400000003</v>
      </c>
      <c r="FE15" s="149"/>
      <c r="FF15" s="43">
        <v>0</v>
      </c>
      <c r="FG15" s="149"/>
      <c r="FH15" s="43">
        <v>0</v>
      </c>
      <c r="FI15" s="149"/>
      <c r="FJ15" s="149">
        <f t="shared" si="7"/>
        <v>-2250155.8400000003</v>
      </c>
      <c r="FM15" s="151" t="s">
        <v>264</v>
      </c>
      <c r="FN15" s="43">
        <v>0</v>
      </c>
      <c r="FO15" s="149"/>
      <c r="FP15" s="43">
        <v>0</v>
      </c>
      <c r="FQ15" s="149"/>
      <c r="FR15" s="43">
        <v>-10286757.859999999</v>
      </c>
      <c r="FS15" s="149"/>
      <c r="FT15" s="43">
        <v>0</v>
      </c>
      <c r="FU15" s="149"/>
      <c r="FV15" s="43">
        <v>64093.799999999996</v>
      </c>
      <c r="FW15" s="149"/>
      <c r="FX15" s="149">
        <f t="shared" si="8"/>
        <v>-10222664.059999999</v>
      </c>
      <c r="GA15" s="151" t="s">
        <v>264</v>
      </c>
      <c r="GB15" s="43">
        <v>0</v>
      </c>
      <c r="GC15" s="149"/>
      <c r="GD15" s="43">
        <v>0</v>
      </c>
      <c r="GE15" s="149"/>
      <c r="GF15" s="43">
        <v>-5986578.4500000002</v>
      </c>
      <c r="GG15" s="149"/>
      <c r="GH15" s="43">
        <v>0</v>
      </c>
      <c r="GI15" s="149"/>
      <c r="GJ15" s="43">
        <v>82451.289999999994</v>
      </c>
      <c r="GK15" s="149"/>
      <c r="GL15" s="149">
        <f t="shared" si="36"/>
        <v>-5904127.1600000001</v>
      </c>
      <c r="GO15" s="151" t="s">
        <v>264</v>
      </c>
      <c r="GP15" s="43">
        <v>0</v>
      </c>
      <c r="GQ15" s="149"/>
      <c r="GR15" s="43">
        <v>0</v>
      </c>
      <c r="GS15" s="149"/>
      <c r="GT15" s="43">
        <v>-3820453.9999999995</v>
      </c>
      <c r="GU15" s="149"/>
      <c r="GV15" s="156">
        <v>0</v>
      </c>
      <c r="GW15" s="149"/>
      <c r="GX15" s="43">
        <v>50740.92</v>
      </c>
      <c r="GY15" s="149"/>
      <c r="GZ15" s="149">
        <f t="shared" si="9"/>
        <v>-3769713.0799999996</v>
      </c>
      <c r="HC15" s="151" t="s">
        <v>264</v>
      </c>
      <c r="HD15" s="43">
        <v>0</v>
      </c>
      <c r="HE15" s="149"/>
      <c r="HF15" s="43">
        <v>0</v>
      </c>
      <c r="HG15" s="149"/>
      <c r="HH15" s="43">
        <v>-1836818.2000000002</v>
      </c>
      <c r="HI15" s="149"/>
      <c r="HJ15" s="43">
        <v>0</v>
      </c>
      <c r="HK15" s="149"/>
      <c r="HL15" s="43">
        <v>25370.46</v>
      </c>
      <c r="HM15" s="149"/>
      <c r="HN15" s="149">
        <f t="shared" si="10"/>
        <v>-1811447.7400000002</v>
      </c>
      <c r="HQ15" s="151" t="s">
        <v>264</v>
      </c>
      <c r="HR15" s="43">
        <v>0</v>
      </c>
      <c r="HS15" s="149"/>
      <c r="HT15" s="43">
        <v>0</v>
      </c>
      <c r="HU15" s="149"/>
      <c r="HV15" s="43">
        <v>-6243825.6000000006</v>
      </c>
      <c r="HW15" s="149"/>
      <c r="HX15" s="43">
        <v>0</v>
      </c>
      <c r="HY15" s="149"/>
      <c r="HZ15" s="43">
        <v>101481.84</v>
      </c>
      <c r="IA15" s="149"/>
      <c r="IB15" s="149">
        <f t="shared" si="11"/>
        <v>-6142343.7600000007</v>
      </c>
      <c r="IE15" s="151" t="s">
        <v>264</v>
      </c>
      <c r="IF15" s="43">
        <v>0</v>
      </c>
      <c r="IG15" s="149"/>
      <c r="IH15" s="43">
        <v>0</v>
      </c>
      <c r="II15" s="149"/>
      <c r="IJ15" s="43">
        <v>-4934371.26</v>
      </c>
      <c r="IK15" s="149"/>
      <c r="IL15" s="43">
        <v>0</v>
      </c>
      <c r="IM15" s="149"/>
      <c r="IN15" s="43">
        <v>76111.38</v>
      </c>
      <c r="IO15" s="149"/>
      <c r="IP15" s="149">
        <f t="shared" si="37"/>
        <v>-4858259.88</v>
      </c>
      <c r="IS15" s="151" t="s">
        <v>264</v>
      </c>
      <c r="IT15" s="43">
        <v>0</v>
      </c>
      <c r="IU15" s="149"/>
      <c r="IV15" s="43">
        <v>0</v>
      </c>
      <c r="IW15" s="149"/>
      <c r="IX15" s="43">
        <v>-2570461.3199999998</v>
      </c>
      <c r="IY15" s="149"/>
      <c r="IZ15" s="43">
        <v>0</v>
      </c>
      <c r="JA15" s="149"/>
      <c r="JB15" s="43">
        <v>50740.92</v>
      </c>
      <c r="JC15" s="149"/>
      <c r="JD15" s="149">
        <f t="shared" si="12"/>
        <v>-2519720.4</v>
      </c>
      <c r="JG15" s="151" t="s">
        <v>264</v>
      </c>
      <c r="JH15" s="43">
        <v>0</v>
      </c>
      <c r="JI15" s="149"/>
      <c r="JJ15" s="43">
        <v>0</v>
      </c>
      <c r="JK15" s="149"/>
      <c r="JL15" s="43">
        <v>-1185805.8400000001</v>
      </c>
      <c r="JM15" s="149"/>
      <c r="JN15" s="43">
        <v>0</v>
      </c>
      <c r="JO15" s="149"/>
      <c r="JP15" s="43">
        <v>25370.46</v>
      </c>
      <c r="JQ15" s="149"/>
      <c r="JR15" s="149">
        <f t="shared" si="13"/>
        <v>-1160435.3800000001</v>
      </c>
      <c r="JU15" s="151" t="s">
        <v>264</v>
      </c>
      <c r="JV15" s="43">
        <v>0</v>
      </c>
      <c r="JW15" s="149"/>
      <c r="JX15" s="43">
        <v>0</v>
      </c>
      <c r="JY15" s="149"/>
      <c r="JZ15" s="43">
        <v>-5321546.6399999997</v>
      </c>
      <c r="KA15" s="149"/>
      <c r="KB15" s="43">
        <v>0</v>
      </c>
      <c r="KC15" s="149"/>
      <c r="KD15" s="43">
        <v>101481.84</v>
      </c>
      <c r="KE15" s="149"/>
      <c r="KF15" s="149">
        <f t="shared" si="14"/>
        <v>-5220064.8</v>
      </c>
      <c r="KG15" s="150"/>
      <c r="KH15" s="150"/>
      <c r="KI15" s="151" t="s">
        <v>264</v>
      </c>
      <c r="KJ15" s="43">
        <v>0</v>
      </c>
      <c r="KK15" s="149"/>
      <c r="KL15" s="43">
        <v>0</v>
      </c>
      <c r="KM15" s="149"/>
      <c r="KN15" s="43">
        <v>-4204283.4800000004</v>
      </c>
      <c r="KO15" s="149"/>
      <c r="KP15" s="43">
        <v>0</v>
      </c>
      <c r="KQ15" s="149"/>
      <c r="KR15" s="43">
        <v>76111.38</v>
      </c>
      <c r="KS15" s="149"/>
      <c r="KT15" s="149">
        <f t="shared" si="38"/>
        <v>-4128172.1000000006</v>
      </c>
      <c r="KU15" s="150"/>
      <c r="KV15" s="150"/>
      <c r="KW15" s="151" t="s">
        <v>264</v>
      </c>
      <c r="KX15" s="43">
        <v>0</v>
      </c>
      <c r="KY15" s="149"/>
      <c r="KZ15" s="43">
        <v>0</v>
      </c>
      <c r="LA15" s="149"/>
      <c r="LB15" s="43">
        <v>-2764920.2800000003</v>
      </c>
      <c r="LC15" s="149"/>
      <c r="LD15" s="43">
        <v>0</v>
      </c>
      <c r="LE15" s="149"/>
      <c r="LF15" s="43">
        <v>50740.92</v>
      </c>
      <c r="LG15" s="149"/>
      <c r="LH15" s="149">
        <f t="shared" si="39"/>
        <v>-2714179.3600000003</v>
      </c>
      <c r="LI15" s="150"/>
      <c r="LJ15" s="151" t="s">
        <v>264</v>
      </c>
      <c r="LK15" s="43">
        <v>0</v>
      </c>
      <c r="LL15" s="149"/>
      <c r="LM15" s="43">
        <v>0</v>
      </c>
      <c r="LN15" s="149"/>
      <c r="LO15" s="43">
        <v>-1415913.57</v>
      </c>
      <c r="LQ15" s="43">
        <v>0</v>
      </c>
      <c r="LS15" s="43">
        <v>25370.46</v>
      </c>
      <c r="LU15" s="43">
        <f t="shared" si="15"/>
        <v>-1390543.11</v>
      </c>
      <c r="LW15" s="151" t="s">
        <v>264</v>
      </c>
      <c r="LX15" s="43">
        <v>0</v>
      </c>
      <c r="LY15" s="149"/>
      <c r="LZ15" s="43">
        <v>0</v>
      </c>
      <c r="MA15" s="149"/>
      <c r="MB15" s="43">
        <v>-7162455.6499999994</v>
      </c>
      <c r="MC15" s="149"/>
      <c r="MD15" s="43">
        <v>0</v>
      </c>
      <c r="ME15" s="149"/>
      <c r="MF15" s="43">
        <v>105360</v>
      </c>
      <c r="MG15" s="149"/>
      <c r="MH15" s="149">
        <f t="shared" si="16"/>
        <v>-7057095.6499999994</v>
      </c>
      <c r="MI15" s="150"/>
      <c r="MJ15" s="150"/>
      <c r="MK15" s="151" t="s">
        <v>264</v>
      </c>
      <c r="ML15" s="43">
        <v>0</v>
      </c>
      <c r="MM15" s="149"/>
      <c r="MN15" s="43">
        <v>0</v>
      </c>
      <c r="MO15" s="149"/>
      <c r="MP15" s="43">
        <v>-5754251.1600000001</v>
      </c>
      <c r="MQ15" s="149"/>
      <c r="MR15" s="43">
        <v>0</v>
      </c>
      <c r="MS15" s="149"/>
      <c r="MT15" s="43">
        <v>79020</v>
      </c>
      <c r="MU15" s="149"/>
      <c r="MV15" s="149">
        <f t="shared" si="40"/>
        <v>-5675231.1600000001</v>
      </c>
      <c r="MW15" s="150"/>
      <c r="MX15" s="150"/>
      <c r="MY15" s="151" t="s">
        <v>264</v>
      </c>
      <c r="MZ15" s="43">
        <v>0</v>
      </c>
      <c r="NA15" s="149"/>
      <c r="NB15" s="43">
        <v>0</v>
      </c>
      <c r="NC15" s="149"/>
      <c r="ND15" s="43">
        <v>-4529765.25</v>
      </c>
      <c r="NE15" s="149"/>
      <c r="NF15" s="43">
        <v>0</v>
      </c>
      <c r="NG15" s="149"/>
      <c r="NH15" s="43">
        <v>52680</v>
      </c>
      <c r="NI15" s="149"/>
      <c r="NJ15" s="149">
        <f t="shared" si="41"/>
        <v>-4477085.25</v>
      </c>
      <c r="NK15" s="150"/>
      <c r="NL15" s="151" t="s">
        <v>264</v>
      </c>
      <c r="NM15" s="43"/>
      <c r="NN15" s="149"/>
      <c r="NP15" s="149"/>
      <c r="NQ15" s="158">
        <v>-1543178.23</v>
      </c>
      <c r="NS15" s="43">
        <v>0</v>
      </c>
      <c r="NU15" s="43">
        <v>26340</v>
      </c>
      <c r="NW15" s="43">
        <f t="shared" si="17"/>
        <v>-1516838.23</v>
      </c>
      <c r="NY15" s="151" t="s">
        <v>264</v>
      </c>
      <c r="NZ15" s="43">
        <v>0</v>
      </c>
      <c r="OA15" s="43"/>
      <c r="OB15" s="43">
        <v>0</v>
      </c>
      <c r="OD15" s="43">
        <v>-13682528.560000001</v>
      </c>
      <c r="OF15" s="43">
        <v>0</v>
      </c>
      <c r="OH15" s="43">
        <v>494380</v>
      </c>
      <c r="OJ15" s="43">
        <f t="shared" si="18"/>
        <v>-13188148.560000001</v>
      </c>
      <c r="OK15" s="67"/>
      <c r="OL15" s="59"/>
      <c r="OM15" s="43"/>
      <c r="ON15" s="43"/>
      <c r="OQ15" s="130"/>
      <c r="OX15" s="67"/>
      <c r="OY15" s="152"/>
      <c r="OZ15" s="43"/>
      <c r="PA15" s="43"/>
      <c r="PD15" s="130"/>
      <c r="PK15" s="67"/>
      <c r="PL15" s="59"/>
      <c r="PM15" s="43"/>
      <c r="PN15" s="43"/>
      <c r="PQ15" s="130"/>
      <c r="PX15" s="67"/>
      <c r="PY15" s="59"/>
      <c r="PZ15" s="43"/>
      <c r="QA15" s="43"/>
      <c r="QK15" s="67"/>
      <c r="QL15" s="59"/>
      <c r="QM15" s="43"/>
      <c r="QN15" s="43"/>
      <c r="QX15" s="67"/>
      <c r="QY15" s="59"/>
      <c r="QZ15" s="43"/>
      <c r="RA15" s="43"/>
      <c r="RK15" s="67"/>
      <c r="RL15" s="59"/>
      <c r="RM15" s="43"/>
      <c r="RN15" s="43"/>
      <c r="RX15" s="67"/>
      <c r="RY15" s="59"/>
      <c r="RZ15" s="43"/>
      <c r="SA15" s="43"/>
      <c r="SK15" s="67"/>
      <c r="SL15" s="59"/>
      <c r="SM15" s="43"/>
      <c r="SN15" s="43"/>
      <c r="SX15" s="67"/>
      <c r="SY15" s="59"/>
      <c r="SZ15" s="43"/>
      <c r="TA15" s="43"/>
      <c r="TK15" s="67"/>
      <c r="TL15" s="59"/>
      <c r="TM15" s="43"/>
      <c r="TN15" s="43"/>
      <c r="TX15" s="67"/>
      <c r="TY15" s="59"/>
      <c r="TZ15" s="43"/>
      <c r="UA15" s="43"/>
      <c r="UK15" s="67"/>
      <c r="UL15" s="67"/>
      <c r="UM15" s="43"/>
      <c r="UN15" s="43"/>
      <c r="UX15" s="67"/>
      <c r="UY15" s="67"/>
      <c r="UZ15" s="43"/>
      <c r="VA15" s="43"/>
      <c r="VK15" s="67"/>
      <c r="VL15" s="60"/>
      <c r="VM15" s="43"/>
      <c r="VN15" s="43"/>
      <c r="VX15" s="67"/>
      <c r="VY15" s="60"/>
      <c r="VZ15" s="43"/>
      <c r="WA15" s="43"/>
      <c r="WK15" s="67"/>
      <c r="WL15" s="67"/>
      <c r="WM15" s="43"/>
      <c r="WN15" s="43"/>
      <c r="WX15" s="43"/>
      <c r="WY15" s="67"/>
      <c r="WZ15" s="43"/>
      <c r="XA15" s="43"/>
      <c r="XK15" s="43"/>
      <c r="XL15" s="67"/>
      <c r="XM15" s="43"/>
      <c r="XN15" s="43"/>
      <c r="XX15" s="43"/>
      <c r="XY15" s="60"/>
      <c r="XZ15" s="43"/>
      <c r="YA15" s="43"/>
    </row>
    <row r="16" spans="1:660">
      <c r="A16" s="151" t="s">
        <v>252</v>
      </c>
      <c r="B16" s="164"/>
      <c r="C16" s="195"/>
      <c r="D16" s="164"/>
      <c r="E16" s="195"/>
      <c r="G16" s="195"/>
      <c r="H16" s="164"/>
      <c r="I16" s="195"/>
      <c r="J16" s="164"/>
      <c r="K16" s="195"/>
      <c r="L16" s="195"/>
      <c r="O16" s="151" t="s">
        <v>252</v>
      </c>
      <c r="P16" s="164"/>
      <c r="Q16" s="195"/>
      <c r="R16" s="164"/>
      <c r="S16" s="195"/>
      <c r="U16" s="195"/>
      <c r="V16" s="164"/>
      <c r="W16" s="195"/>
      <c r="X16" s="164"/>
      <c r="Y16" s="195"/>
      <c r="Z16" s="195"/>
      <c r="AC16" s="151" t="s">
        <v>252</v>
      </c>
      <c r="AD16" s="164"/>
      <c r="AE16" s="195"/>
      <c r="AF16" s="164"/>
      <c r="AG16" s="195"/>
      <c r="AI16" s="195"/>
      <c r="AJ16" s="164"/>
      <c r="AK16" s="195"/>
      <c r="AL16" s="164"/>
      <c r="AM16" s="195"/>
      <c r="AN16" s="195"/>
      <c r="AQ16" s="151" t="s">
        <v>252</v>
      </c>
      <c r="AR16" s="43">
        <v>0</v>
      </c>
      <c r="AS16" s="195"/>
      <c r="AT16" s="43">
        <v>0</v>
      </c>
      <c r="AU16" s="195"/>
      <c r="AV16" s="43">
        <v>0</v>
      </c>
      <c r="AW16" s="195"/>
      <c r="AX16" s="43">
        <v>0</v>
      </c>
      <c r="AY16" s="195"/>
      <c r="AZ16" s="43">
        <v>0</v>
      </c>
      <c r="BA16" s="195"/>
      <c r="BB16" s="195">
        <f t="shared" si="0"/>
        <v>0</v>
      </c>
      <c r="BE16" s="151" t="s">
        <v>252</v>
      </c>
      <c r="BF16" s="164">
        <v>0</v>
      </c>
      <c r="BG16" s="195"/>
      <c r="BH16" s="164">
        <v>0</v>
      </c>
      <c r="BI16" s="195"/>
      <c r="BJ16" s="164">
        <v>0</v>
      </c>
      <c r="BK16" s="195"/>
      <c r="BL16" s="164">
        <v>0</v>
      </c>
      <c r="BM16" s="195"/>
      <c r="BN16" s="164">
        <v>0</v>
      </c>
      <c r="BO16" s="195"/>
      <c r="BP16" s="195">
        <f t="shared" si="1"/>
        <v>0</v>
      </c>
      <c r="BS16" s="151" t="s">
        <v>252</v>
      </c>
      <c r="BT16" s="164">
        <v>0</v>
      </c>
      <c r="BU16" s="195"/>
      <c r="BV16" s="164">
        <v>0</v>
      </c>
      <c r="BW16" s="195"/>
      <c r="BX16" s="164">
        <v>0</v>
      </c>
      <c r="BY16" s="195"/>
      <c r="BZ16" s="164">
        <v>0</v>
      </c>
      <c r="CA16" s="195"/>
      <c r="CB16" s="164">
        <v>0</v>
      </c>
      <c r="CC16" s="195"/>
      <c r="CD16" s="195">
        <f t="shared" si="2"/>
        <v>0</v>
      </c>
      <c r="CG16" s="151" t="s">
        <v>252</v>
      </c>
      <c r="CH16" s="164">
        <v>0</v>
      </c>
      <c r="CI16" s="195"/>
      <c r="CJ16" s="164">
        <v>0</v>
      </c>
      <c r="CK16" s="195"/>
      <c r="CL16" s="164">
        <v>0</v>
      </c>
      <c r="CM16" s="195"/>
      <c r="CN16" s="164">
        <v>0</v>
      </c>
      <c r="CO16" s="195"/>
      <c r="CP16" s="164">
        <v>0</v>
      </c>
      <c r="CQ16" s="195"/>
      <c r="CR16" s="195">
        <f t="shared" si="3"/>
        <v>0</v>
      </c>
      <c r="CU16" s="151" t="s">
        <v>252</v>
      </c>
      <c r="CV16" s="43">
        <v>0</v>
      </c>
      <c r="CW16" s="195"/>
      <c r="CX16" s="43">
        <v>0</v>
      </c>
      <c r="CY16" s="195"/>
      <c r="CZ16" s="43">
        <v>0</v>
      </c>
      <c r="DA16" s="195"/>
      <c r="DB16" s="43">
        <v>-112020.44598566667</v>
      </c>
      <c r="DC16" s="195"/>
      <c r="DD16" s="43">
        <v>0</v>
      </c>
      <c r="DE16" s="195"/>
      <c r="DF16" s="195">
        <f t="shared" si="4"/>
        <v>-112020.44598566667</v>
      </c>
      <c r="DI16" s="151" t="s">
        <v>252</v>
      </c>
      <c r="DJ16" s="164">
        <v>0</v>
      </c>
      <c r="DK16" s="195"/>
      <c r="DL16" s="164">
        <v>0</v>
      </c>
      <c r="DM16" s="195"/>
      <c r="DN16" s="164">
        <v>0</v>
      </c>
      <c r="DO16" s="195"/>
      <c r="DP16" s="164">
        <v>0</v>
      </c>
      <c r="DQ16" s="195"/>
      <c r="DR16" s="164">
        <v>0</v>
      </c>
      <c r="DS16" s="195"/>
      <c r="DT16" s="195">
        <f t="shared" si="5"/>
        <v>0</v>
      </c>
      <c r="DW16" s="151" t="s">
        <v>252</v>
      </c>
      <c r="DX16" s="43">
        <v>0</v>
      </c>
      <c r="DY16" s="149"/>
      <c r="DZ16" s="43">
        <v>0</v>
      </c>
      <c r="EA16" s="149"/>
      <c r="EB16" s="43">
        <v>0</v>
      </c>
      <c r="EC16" s="149"/>
      <c r="ED16" s="43">
        <v>0</v>
      </c>
      <c r="EE16" s="149"/>
      <c r="EF16" s="43">
        <v>0</v>
      </c>
      <c r="EG16" s="149"/>
      <c r="EH16" s="149">
        <f t="shared" si="35"/>
        <v>0</v>
      </c>
      <c r="EK16" s="151" t="s">
        <v>252</v>
      </c>
      <c r="EL16" s="43">
        <v>0</v>
      </c>
      <c r="EM16" s="149"/>
      <c r="EN16" s="43">
        <v>0</v>
      </c>
      <c r="EO16" s="149"/>
      <c r="EP16" s="43">
        <v>0</v>
      </c>
      <c r="EQ16" s="149"/>
      <c r="ER16" s="43">
        <v>0</v>
      </c>
      <c r="ES16" s="149"/>
      <c r="ET16" s="43">
        <v>0</v>
      </c>
      <c r="EU16" s="149"/>
      <c r="EV16" s="149">
        <f>SUM(EL16:ET16)</f>
        <v>0</v>
      </c>
      <c r="EY16" s="151" t="s">
        <v>252</v>
      </c>
      <c r="EZ16" s="43">
        <v>0</v>
      </c>
      <c r="FA16" s="149"/>
      <c r="FB16" s="43">
        <v>0</v>
      </c>
      <c r="FC16" s="149"/>
      <c r="FD16" s="43">
        <v>0</v>
      </c>
      <c r="FE16" s="149"/>
      <c r="FF16" s="43">
        <v>0</v>
      </c>
      <c r="FG16" s="149"/>
      <c r="FH16" s="43">
        <v>0</v>
      </c>
      <c r="FI16" s="149"/>
      <c r="FJ16" s="149">
        <f t="shared" si="7"/>
        <v>0</v>
      </c>
      <c r="FM16" s="151" t="s">
        <v>252</v>
      </c>
      <c r="FN16" s="43">
        <v>0</v>
      </c>
      <c r="FO16" s="149"/>
      <c r="FP16" s="43">
        <v>0</v>
      </c>
      <c r="FQ16" s="149"/>
      <c r="FR16" s="43">
        <v>0</v>
      </c>
      <c r="FS16" s="149"/>
      <c r="FT16" s="43">
        <v>5874205.7084021242</v>
      </c>
      <c r="FU16" s="149"/>
      <c r="FV16" s="43">
        <v>0</v>
      </c>
      <c r="FW16" s="149"/>
      <c r="FX16" s="149">
        <f t="shared" si="8"/>
        <v>5874205.7084021242</v>
      </c>
      <c r="GA16" s="151" t="s">
        <v>252</v>
      </c>
      <c r="GB16" s="43">
        <v>0</v>
      </c>
      <c r="GC16" s="149"/>
      <c r="GD16" s="43">
        <v>0</v>
      </c>
      <c r="GE16" s="149"/>
      <c r="GF16" s="43">
        <v>0</v>
      </c>
      <c r="GG16" s="149"/>
      <c r="GH16" s="43">
        <v>5874205.7084021242</v>
      </c>
      <c r="GI16" s="149"/>
      <c r="GJ16" s="43">
        <v>0</v>
      </c>
      <c r="GK16" s="149"/>
      <c r="GL16" s="149">
        <f t="shared" si="36"/>
        <v>5874205.7084021242</v>
      </c>
      <c r="GO16" s="151" t="s">
        <v>252</v>
      </c>
      <c r="GP16" s="43">
        <v>0</v>
      </c>
      <c r="GQ16" s="149"/>
      <c r="GR16" s="43">
        <v>0</v>
      </c>
      <c r="GS16" s="149"/>
      <c r="GT16" s="43">
        <v>0</v>
      </c>
      <c r="GU16" s="149"/>
      <c r="GV16" s="156">
        <v>5874205.7084021242</v>
      </c>
      <c r="GW16" s="149"/>
      <c r="GX16" s="43">
        <v>0</v>
      </c>
      <c r="GY16" s="149"/>
      <c r="GZ16" s="149">
        <f t="shared" si="9"/>
        <v>5874205.7084021242</v>
      </c>
      <c r="HC16" s="151" t="s">
        <v>252</v>
      </c>
      <c r="HD16" s="43">
        <v>0</v>
      </c>
      <c r="HE16" s="149"/>
      <c r="HF16" s="43">
        <v>0</v>
      </c>
      <c r="HG16" s="149"/>
      <c r="HH16" s="43">
        <v>0</v>
      </c>
      <c r="HI16" s="149"/>
      <c r="HJ16" s="43">
        <v>0</v>
      </c>
      <c r="HK16" s="149"/>
      <c r="HL16" s="43">
        <v>0</v>
      </c>
      <c r="HM16" s="149"/>
      <c r="HN16" s="149">
        <f t="shared" si="10"/>
        <v>0</v>
      </c>
      <c r="HQ16" s="151" t="s">
        <v>252</v>
      </c>
      <c r="HR16" s="43">
        <v>0</v>
      </c>
      <c r="HS16" s="149"/>
      <c r="HT16" s="43">
        <v>0</v>
      </c>
      <c r="HU16" s="149"/>
      <c r="HV16" s="43">
        <v>0</v>
      </c>
      <c r="HW16" s="149"/>
      <c r="HX16" s="43">
        <v>0</v>
      </c>
      <c r="HY16" s="149"/>
      <c r="HZ16" s="43">
        <v>0</v>
      </c>
      <c r="IA16" s="149"/>
      <c r="IB16" s="149">
        <f t="shared" si="11"/>
        <v>0</v>
      </c>
      <c r="IE16" s="151" t="s">
        <v>252</v>
      </c>
      <c r="IF16" s="43">
        <v>0</v>
      </c>
      <c r="IG16" s="149"/>
      <c r="II16" s="149"/>
      <c r="IJ16" s="43"/>
      <c r="IK16" s="149"/>
      <c r="IM16" s="149"/>
      <c r="IO16" s="149"/>
      <c r="IP16" s="149">
        <f t="shared" si="37"/>
        <v>0</v>
      </c>
      <c r="IS16" s="151" t="s">
        <v>252</v>
      </c>
      <c r="IT16" s="43">
        <v>0</v>
      </c>
      <c r="IU16" s="149"/>
      <c r="IV16" s="43">
        <v>0</v>
      </c>
      <c r="IW16" s="149"/>
      <c r="IX16" s="43">
        <v>0</v>
      </c>
      <c r="IY16" s="149"/>
      <c r="IZ16" s="43">
        <v>0</v>
      </c>
      <c r="JA16" s="149"/>
      <c r="JB16" s="43">
        <v>0</v>
      </c>
      <c r="JC16" s="149"/>
      <c r="JD16" s="149">
        <f t="shared" si="12"/>
        <v>0</v>
      </c>
      <c r="JG16" s="151" t="s">
        <v>252</v>
      </c>
      <c r="JH16" s="43">
        <v>0</v>
      </c>
      <c r="JI16" s="149"/>
      <c r="JJ16" s="43">
        <v>0</v>
      </c>
      <c r="JK16" s="149"/>
      <c r="JL16" s="43">
        <v>0</v>
      </c>
      <c r="JM16" s="149"/>
      <c r="JN16" s="43">
        <v>0</v>
      </c>
      <c r="JO16" s="149"/>
      <c r="JP16" s="43">
        <v>0</v>
      </c>
      <c r="JQ16" s="149"/>
      <c r="JR16" s="149">
        <f t="shared" si="13"/>
        <v>0</v>
      </c>
      <c r="JU16" s="151" t="s">
        <v>252</v>
      </c>
      <c r="JV16" s="43"/>
      <c r="JW16" s="149"/>
      <c r="JY16" s="149"/>
      <c r="JZ16" s="43"/>
      <c r="KA16" s="149"/>
      <c r="KC16" s="149"/>
      <c r="KE16" s="149"/>
      <c r="KF16" s="149">
        <f t="shared" si="14"/>
        <v>0</v>
      </c>
      <c r="KG16" s="150"/>
      <c r="KH16" s="150"/>
      <c r="KI16" s="151" t="s">
        <v>252</v>
      </c>
      <c r="KJ16" s="43">
        <v>0</v>
      </c>
      <c r="KK16" s="149"/>
      <c r="KL16" s="43">
        <v>0</v>
      </c>
      <c r="KM16" s="149"/>
      <c r="KN16" s="43">
        <v>0</v>
      </c>
      <c r="KO16" s="149"/>
      <c r="KP16" s="43">
        <v>0</v>
      </c>
      <c r="KQ16" s="149"/>
      <c r="KR16" s="43">
        <v>0</v>
      </c>
      <c r="KS16" s="149"/>
      <c r="KT16" s="149">
        <f t="shared" si="38"/>
        <v>0</v>
      </c>
      <c r="KU16" s="150"/>
      <c r="KV16" s="150"/>
      <c r="KW16" s="151" t="s">
        <v>252</v>
      </c>
      <c r="KX16" s="43">
        <v>0</v>
      </c>
      <c r="KY16" s="149"/>
      <c r="KZ16" s="43">
        <v>0</v>
      </c>
      <c r="LA16" s="149"/>
      <c r="LB16" s="43">
        <v>0</v>
      </c>
      <c r="LC16" s="149"/>
      <c r="LD16" s="43">
        <v>0</v>
      </c>
      <c r="LE16" s="149"/>
      <c r="LF16" s="43">
        <v>0</v>
      </c>
      <c r="LG16" s="149"/>
      <c r="LH16" s="149">
        <f t="shared" si="39"/>
        <v>0</v>
      </c>
      <c r="LI16" s="150"/>
      <c r="LJ16" s="151" t="s">
        <v>252</v>
      </c>
      <c r="LK16" s="43">
        <v>0</v>
      </c>
      <c r="LL16" s="149"/>
      <c r="LN16" s="149"/>
      <c r="LO16" s="158"/>
      <c r="LU16" s="43">
        <f t="shared" si="15"/>
        <v>0</v>
      </c>
      <c r="LW16" s="151" t="s">
        <v>252</v>
      </c>
      <c r="LX16" s="43">
        <v>0</v>
      </c>
      <c r="LY16" s="149"/>
      <c r="LZ16" s="43">
        <v>0</v>
      </c>
      <c r="MA16" s="149"/>
      <c r="MB16" s="43">
        <v>0</v>
      </c>
      <c r="MC16" s="149"/>
      <c r="MD16" s="43">
        <v>0</v>
      </c>
      <c r="ME16" s="149"/>
      <c r="MF16" s="43">
        <v>0</v>
      </c>
      <c r="MG16" s="149"/>
      <c r="MH16" s="149">
        <f t="shared" si="16"/>
        <v>0</v>
      </c>
      <c r="MI16" s="150"/>
      <c r="MJ16" s="150"/>
      <c r="MK16" s="151" t="s">
        <v>252</v>
      </c>
      <c r="ML16" s="43">
        <v>0</v>
      </c>
      <c r="MM16" s="149"/>
      <c r="MN16" s="43">
        <v>0</v>
      </c>
      <c r="MO16" s="149"/>
      <c r="MP16" s="43">
        <v>0</v>
      </c>
      <c r="MQ16" s="149"/>
      <c r="MR16" s="43">
        <v>0</v>
      </c>
      <c r="MS16" s="149"/>
      <c r="MT16" s="43">
        <v>0</v>
      </c>
      <c r="MU16" s="149"/>
      <c r="MV16" s="149">
        <f t="shared" si="40"/>
        <v>0</v>
      </c>
      <c r="MW16" s="150"/>
      <c r="MX16" s="150"/>
      <c r="MY16" s="151" t="s">
        <v>252</v>
      </c>
      <c r="MZ16" s="43">
        <v>0</v>
      </c>
      <c r="NA16" s="149"/>
      <c r="NB16" s="43">
        <v>0</v>
      </c>
      <c r="NC16" s="149"/>
      <c r="ND16" s="43">
        <v>0</v>
      </c>
      <c r="NE16" s="149"/>
      <c r="NF16" s="43">
        <v>0</v>
      </c>
      <c r="NG16" s="149"/>
      <c r="NH16" s="43">
        <v>0</v>
      </c>
      <c r="NI16" s="149"/>
      <c r="NJ16" s="149">
        <f t="shared" si="41"/>
        <v>0</v>
      </c>
      <c r="NK16" s="150"/>
      <c r="NL16" s="151" t="s">
        <v>252</v>
      </c>
      <c r="NM16" s="43">
        <v>0</v>
      </c>
      <c r="NN16" s="149"/>
      <c r="NO16" s="43">
        <v>0</v>
      </c>
      <c r="NP16" s="149"/>
      <c r="NQ16" s="158">
        <v>0</v>
      </c>
      <c r="NS16" s="43">
        <v>0</v>
      </c>
      <c r="NU16" s="43">
        <v>0</v>
      </c>
      <c r="NW16" s="43">
        <f t="shared" si="17"/>
        <v>0</v>
      </c>
      <c r="NY16" s="59" t="s">
        <v>252</v>
      </c>
      <c r="NZ16" s="43">
        <v>0</v>
      </c>
      <c r="OA16" s="43">
        <v>0</v>
      </c>
      <c r="OB16" s="43">
        <v>0</v>
      </c>
      <c r="OD16" s="43">
        <v>0</v>
      </c>
      <c r="OF16" s="43">
        <v>9404177.1611000001</v>
      </c>
      <c r="OH16" s="43">
        <v>0</v>
      </c>
      <c r="OJ16" s="43">
        <f t="shared" si="18"/>
        <v>9404177.1611000001</v>
      </c>
      <c r="OK16" s="67"/>
      <c r="OL16" s="59" t="s">
        <v>252</v>
      </c>
      <c r="OM16" s="43">
        <v>0</v>
      </c>
      <c r="ON16" s="43"/>
      <c r="OO16" s="43">
        <v>0</v>
      </c>
      <c r="OQ16" s="130"/>
      <c r="OS16" s="43">
        <v>10176701.9811</v>
      </c>
      <c r="OU16" s="43">
        <v>0</v>
      </c>
      <c r="OW16" s="43">
        <f t="shared" si="19"/>
        <v>10176701.9811</v>
      </c>
      <c r="OX16" s="67"/>
      <c r="OY16" s="152" t="s">
        <v>252</v>
      </c>
      <c r="OZ16" s="43">
        <v>0</v>
      </c>
      <c r="PA16" s="43"/>
      <c r="PB16" s="43">
        <v>0</v>
      </c>
      <c r="PD16" s="130"/>
      <c r="PF16" s="43">
        <v>7318045.3499999996</v>
      </c>
      <c r="PH16" s="43">
        <v>0</v>
      </c>
      <c r="PJ16" s="43">
        <f t="shared" si="20"/>
        <v>7318045.3499999996</v>
      </c>
      <c r="PK16" s="67"/>
      <c r="PL16" s="59"/>
      <c r="PM16" s="43"/>
      <c r="PN16" s="43"/>
      <c r="PQ16" s="130"/>
      <c r="PX16" s="67"/>
      <c r="PY16" s="59"/>
      <c r="PZ16" s="43"/>
      <c r="QA16" s="43"/>
      <c r="QK16" s="67"/>
      <c r="QL16" s="59"/>
      <c r="QM16" s="43"/>
      <c r="QN16" s="43"/>
      <c r="QX16" s="67"/>
      <c r="QY16" s="59"/>
      <c r="QZ16" s="43"/>
      <c r="RA16" s="43"/>
      <c r="RK16" s="67"/>
      <c r="RL16" s="59"/>
      <c r="RM16" s="43"/>
      <c r="RN16" s="43"/>
      <c r="RX16" s="67"/>
      <c r="RY16" s="59"/>
      <c r="RZ16" s="43"/>
      <c r="SA16" s="43"/>
      <c r="SK16" s="67"/>
      <c r="SL16" s="59"/>
      <c r="SM16" s="43"/>
      <c r="SN16" s="43"/>
      <c r="SX16" s="67"/>
      <c r="SY16" s="59"/>
      <c r="SZ16" s="43"/>
      <c r="TA16" s="43"/>
      <c r="TK16" s="67"/>
      <c r="TL16" s="59"/>
      <c r="TM16" s="43"/>
      <c r="TN16" s="43"/>
      <c r="TX16" s="67"/>
      <c r="TY16" s="59"/>
      <c r="TZ16" s="43"/>
      <c r="UA16" s="43"/>
      <c r="UK16" s="67"/>
      <c r="UL16" s="67"/>
      <c r="UM16" s="43"/>
      <c r="UN16" s="43"/>
      <c r="UX16" s="67"/>
      <c r="UY16" s="67"/>
      <c r="UZ16" s="43"/>
      <c r="VA16" s="43"/>
      <c r="VK16" s="67"/>
      <c r="VL16" s="60"/>
      <c r="VM16" s="43"/>
      <c r="VN16" s="43"/>
      <c r="VX16" s="67"/>
      <c r="VY16" s="60"/>
      <c r="VZ16" s="43"/>
      <c r="WA16" s="43"/>
      <c r="WK16" s="67"/>
      <c r="WL16" s="67"/>
      <c r="WM16" s="43"/>
      <c r="WN16" s="43"/>
      <c r="WX16" s="43"/>
      <c r="WY16" s="67"/>
      <c r="WZ16" s="43"/>
      <c r="XA16" s="43"/>
      <c r="XK16" s="43"/>
      <c r="XL16" s="67"/>
      <c r="XM16" s="43"/>
      <c r="XN16" s="43"/>
      <c r="XX16" s="43"/>
      <c r="XY16" s="60"/>
      <c r="XZ16" s="43"/>
      <c r="YA16" s="43"/>
    </row>
    <row r="17" spans="1:660">
      <c r="A17" s="151" t="s">
        <v>63</v>
      </c>
      <c r="B17" s="43"/>
      <c r="C17" s="195"/>
      <c r="E17" s="195"/>
      <c r="F17" s="43"/>
      <c r="G17" s="195"/>
      <c r="I17" s="195"/>
      <c r="K17" s="195"/>
      <c r="L17" s="195"/>
      <c r="O17" s="151" t="s">
        <v>63</v>
      </c>
      <c r="P17" s="164"/>
      <c r="Q17" s="195"/>
      <c r="R17" s="164"/>
      <c r="S17" s="195"/>
      <c r="U17" s="195"/>
      <c r="V17" s="164"/>
      <c r="W17" s="195"/>
      <c r="X17" s="164"/>
      <c r="Y17" s="195"/>
      <c r="Z17" s="195"/>
      <c r="AC17" s="151" t="s">
        <v>63</v>
      </c>
      <c r="AD17" s="43"/>
      <c r="AE17" s="195"/>
      <c r="AG17" s="195"/>
      <c r="AH17" s="43"/>
      <c r="AI17" s="195"/>
      <c r="AK17" s="195"/>
      <c r="AM17" s="195"/>
      <c r="AN17" s="195"/>
      <c r="AQ17" s="151" t="s">
        <v>63</v>
      </c>
      <c r="AR17" s="43">
        <v>0</v>
      </c>
      <c r="AS17" s="195"/>
      <c r="AT17" s="43">
        <v>0</v>
      </c>
      <c r="AU17" s="195"/>
      <c r="AV17" s="43">
        <v>0</v>
      </c>
      <c r="AW17" s="195"/>
      <c r="AX17" s="43">
        <v>176749.889069</v>
      </c>
      <c r="AY17" s="195"/>
      <c r="AZ17" s="43">
        <v>-91217.780759999994</v>
      </c>
      <c r="BA17" s="195"/>
      <c r="BB17" s="195">
        <f t="shared" si="0"/>
        <v>85532.108309000003</v>
      </c>
      <c r="BE17" s="151" t="s">
        <v>63</v>
      </c>
      <c r="BF17" s="43">
        <v>0</v>
      </c>
      <c r="BG17" s="195"/>
      <c r="BH17" s="43">
        <v>0</v>
      </c>
      <c r="BI17" s="195"/>
      <c r="BJ17" s="43">
        <v>0</v>
      </c>
      <c r="BK17" s="195"/>
      <c r="BL17" s="43">
        <v>-834847.11633108347</v>
      </c>
      <c r="BM17" s="195"/>
      <c r="BN17" s="43">
        <v>-214535.54190666665</v>
      </c>
      <c r="BO17" s="195"/>
      <c r="BP17" s="195">
        <f t="shared" si="1"/>
        <v>-1049382.6582377502</v>
      </c>
      <c r="BS17" s="151" t="s">
        <v>63</v>
      </c>
      <c r="BT17" s="164">
        <v>0</v>
      </c>
      <c r="BU17" s="195"/>
      <c r="BV17" s="164">
        <v>0</v>
      </c>
      <c r="BW17" s="195"/>
      <c r="BX17" s="164">
        <v>0</v>
      </c>
      <c r="BY17" s="195"/>
      <c r="BZ17" s="164">
        <v>-274669.88320688903</v>
      </c>
      <c r="CA17" s="195"/>
      <c r="CB17" s="164">
        <v>0</v>
      </c>
      <c r="CC17" s="195"/>
      <c r="CD17" s="195">
        <f t="shared" si="2"/>
        <v>-274669.88320688903</v>
      </c>
      <c r="CG17" s="151" t="s">
        <v>63</v>
      </c>
      <c r="CH17" s="43">
        <v>0</v>
      </c>
      <c r="CI17" s="195"/>
      <c r="CJ17" s="43">
        <v>0</v>
      </c>
      <c r="CK17" s="195"/>
      <c r="CL17" s="43">
        <v>0</v>
      </c>
      <c r="CM17" s="195"/>
      <c r="CN17" s="43">
        <v>-393927.32</v>
      </c>
      <c r="CO17" s="195"/>
      <c r="CP17" s="43">
        <v>0</v>
      </c>
      <c r="CQ17" s="195"/>
      <c r="CR17" s="195">
        <f t="shared" si="3"/>
        <v>-393927.32</v>
      </c>
      <c r="CU17" s="151" t="s">
        <v>63</v>
      </c>
      <c r="CV17" s="43">
        <v>0</v>
      </c>
      <c r="CW17" s="195"/>
      <c r="CX17" s="43">
        <v>0</v>
      </c>
      <c r="CY17" s="195"/>
      <c r="CZ17" s="43">
        <v>0</v>
      </c>
      <c r="DA17" s="195"/>
      <c r="DB17" s="43">
        <v>0</v>
      </c>
      <c r="DC17" s="195"/>
      <c r="DD17" s="43">
        <v>0</v>
      </c>
      <c r="DE17" s="195"/>
      <c r="DF17" s="195">
        <f t="shared" si="4"/>
        <v>0</v>
      </c>
      <c r="DI17" s="151" t="s">
        <v>63</v>
      </c>
      <c r="DJ17" s="164">
        <v>0</v>
      </c>
      <c r="DK17" s="195"/>
      <c r="DL17" s="164">
        <v>0</v>
      </c>
      <c r="DM17" s="195"/>
      <c r="DN17" s="164">
        <v>843823.41</v>
      </c>
      <c r="DO17" s="195"/>
      <c r="DP17" s="164">
        <v>-2067983.4946343335</v>
      </c>
      <c r="DQ17" s="195"/>
      <c r="DR17" s="164">
        <v>-267322.56536566664</v>
      </c>
      <c r="DS17" s="195"/>
      <c r="DT17" s="195">
        <f t="shared" si="5"/>
        <v>-1491482.65</v>
      </c>
      <c r="DW17" s="151" t="s">
        <v>63</v>
      </c>
      <c r="DX17" s="43">
        <v>0</v>
      </c>
      <c r="DY17" s="149"/>
      <c r="DZ17" s="43">
        <v>0</v>
      </c>
      <c r="EA17" s="149"/>
      <c r="EB17" s="43">
        <v>651384.28</v>
      </c>
      <c r="EC17" s="149"/>
      <c r="ED17" s="43">
        <v>-267226.53212941129</v>
      </c>
      <c r="EE17" s="149"/>
      <c r="EF17" s="43">
        <v>-457258.18770477781</v>
      </c>
      <c r="EG17" s="149"/>
      <c r="EH17" s="149">
        <f t="shared" si="35"/>
        <v>-73100.439834189077</v>
      </c>
      <c r="EK17" s="151" t="s">
        <v>63</v>
      </c>
      <c r="EL17" s="43">
        <v>0</v>
      </c>
      <c r="EM17" s="149"/>
      <c r="EN17" s="43">
        <v>0</v>
      </c>
      <c r="EO17" s="149"/>
      <c r="EP17" s="43">
        <v>546646.84</v>
      </c>
      <c r="EQ17" s="149"/>
      <c r="ER17" s="43">
        <v>-697266.29797457857</v>
      </c>
      <c r="ES17" s="149"/>
      <c r="ET17" s="43">
        <v>0</v>
      </c>
      <c r="EU17" s="149"/>
      <c r="EV17" s="149">
        <f t="shared" si="6"/>
        <v>-150619.4579745786</v>
      </c>
      <c r="EY17" s="151" t="s">
        <v>63</v>
      </c>
      <c r="EZ17" s="43">
        <v>0</v>
      </c>
      <c r="FA17" s="149"/>
      <c r="FB17" s="43">
        <v>0</v>
      </c>
      <c r="FC17" s="149"/>
      <c r="FD17" s="43">
        <v>221251.87</v>
      </c>
      <c r="FE17" s="149"/>
      <c r="FF17" s="43">
        <v>3192.7600000000079</v>
      </c>
      <c r="FG17" s="149"/>
      <c r="FH17" s="43">
        <v>0</v>
      </c>
      <c r="FI17" s="149"/>
      <c r="FJ17" s="149">
        <f t="shared" si="7"/>
        <v>224444.63</v>
      </c>
      <c r="FM17" s="151" t="s">
        <v>63</v>
      </c>
      <c r="FN17" s="43">
        <v>0</v>
      </c>
      <c r="FO17" s="149"/>
      <c r="FP17" s="43">
        <v>0</v>
      </c>
      <c r="FQ17" s="149"/>
      <c r="FR17" s="43">
        <v>948913.26</v>
      </c>
      <c r="FS17" s="149"/>
      <c r="FT17" s="43">
        <v>780188.82642691326</v>
      </c>
      <c r="FU17" s="149"/>
      <c r="FV17" s="43">
        <v>0</v>
      </c>
      <c r="FW17" s="149"/>
      <c r="FX17" s="149">
        <f t="shared" si="8"/>
        <v>1729102.0864269133</v>
      </c>
      <c r="GA17" s="151" t="s">
        <v>63</v>
      </c>
      <c r="GB17" s="43">
        <v>0</v>
      </c>
      <c r="GC17" s="149"/>
      <c r="GD17" s="43">
        <v>0</v>
      </c>
      <c r="GE17" s="149"/>
      <c r="GF17" s="43">
        <v>790107.27</v>
      </c>
      <c r="GG17" s="149"/>
      <c r="GH17" s="43">
        <v>536825.46349433355</v>
      </c>
      <c r="GI17" s="149"/>
      <c r="GJ17" s="43">
        <v>-146615.12470059586</v>
      </c>
      <c r="GK17" s="149"/>
      <c r="GL17" s="149">
        <f t="shared" si="36"/>
        <v>1180317.6087937376</v>
      </c>
      <c r="GO17" s="151" t="s">
        <v>63</v>
      </c>
      <c r="GP17" s="43">
        <v>0</v>
      </c>
      <c r="GQ17" s="149"/>
      <c r="GR17" s="43">
        <v>0</v>
      </c>
      <c r="GS17" s="149"/>
      <c r="GT17" s="43">
        <v>452619.63</v>
      </c>
      <c r="GU17" s="149"/>
      <c r="GV17" s="156">
        <v>438215.56815500004</v>
      </c>
      <c r="GW17" s="149"/>
      <c r="GX17" s="43">
        <v>-117070.16099999999</v>
      </c>
      <c r="GY17" s="149"/>
      <c r="GZ17" s="149">
        <f t="shared" si="9"/>
        <v>773765.03715500014</v>
      </c>
      <c r="HC17" s="151" t="s">
        <v>63</v>
      </c>
      <c r="HD17" s="43">
        <v>0</v>
      </c>
      <c r="HE17" s="149"/>
      <c r="HF17" s="43">
        <v>0</v>
      </c>
      <c r="HG17" s="149"/>
      <c r="HH17" s="43">
        <v>157563.59</v>
      </c>
      <c r="HI17" s="149"/>
      <c r="HJ17" s="43">
        <v>259495.85949999999</v>
      </c>
      <c r="HK17" s="149"/>
      <c r="HL17" s="43">
        <v>0</v>
      </c>
      <c r="HM17" s="149"/>
      <c r="HN17" s="149">
        <f t="shared" si="10"/>
        <v>417059.44949999999</v>
      </c>
      <c r="HQ17" s="151" t="s">
        <v>63</v>
      </c>
      <c r="HR17" s="43">
        <v>0</v>
      </c>
      <c r="HS17" s="149"/>
      <c r="HT17" s="43">
        <v>0</v>
      </c>
      <c r="HU17" s="149"/>
      <c r="HV17" s="43">
        <v>1095583.42</v>
      </c>
      <c r="HW17" s="149"/>
      <c r="HX17" s="43">
        <v>378182.12800000003</v>
      </c>
      <c r="HY17" s="149"/>
      <c r="HZ17" s="43">
        <v>0</v>
      </c>
      <c r="IA17" s="149"/>
      <c r="IB17" s="149">
        <f t="shared" si="11"/>
        <v>1473765.548</v>
      </c>
      <c r="IE17" s="151" t="s">
        <v>63</v>
      </c>
      <c r="IF17" s="43">
        <v>0</v>
      </c>
      <c r="IG17" s="149"/>
      <c r="IH17" s="43">
        <v>0</v>
      </c>
      <c r="II17" s="149"/>
      <c r="IJ17" s="43">
        <v>875129.82</v>
      </c>
      <c r="IK17" s="149"/>
      <c r="IL17" s="43">
        <v>627798.18850000005</v>
      </c>
      <c r="IM17" s="149"/>
      <c r="IN17" s="43">
        <v>0</v>
      </c>
      <c r="IO17" s="149"/>
      <c r="IP17" s="149">
        <f t="shared" si="37"/>
        <v>1502928.0085</v>
      </c>
      <c r="IS17" s="151" t="s">
        <v>63</v>
      </c>
      <c r="IT17" s="43">
        <v>0</v>
      </c>
      <c r="IU17" s="149"/>
      <c r="IV17" s="43">
        <v>0</v>
      </c>
      <c r="IW17" s="149"/>
      <c r="IX17" s="43">
        <v>441202.55</v>
      </c>
      <c r="IY17" s="149"/>
      <c r="IZ17" s="43">
        <v>31505.279000000031</v>
      </c>
      <c r="JA17" s="149"/>
      <c r="JB17" s="43">
        <v>0</v>
      </c>
      <c r="JC17" s="149"/>
      <c r="JD17" s="149">
        <f t="shared" si="12"/>
        <v>472707.82900000003</v>
      </c>
      <c r="JG17" s="151" t="s">
        <v>63</v>
      </c>
      <c r="JH17" s="43">
        <v>0</v>
      </c>
      <c r="JI17" s="149"/>
      <c r="JJ17" s="43">
        <v>0</v>
      </c>
      <c r="JK17" s="149"/>
      <c r="JL17" s="43">
        <v>199470.61</v>
      </c>
      <c r="JM17" s="149"/>
      <c r="JN17" s="43">
        <v>115878.63950000003</v>
      </c>
      <c r="JO17" s="149"/>
      <c r="JP17" s="43">
        <v>0</v>
      </c>
      <c r="JQ17" s="149"/>
      <c r="JR17" s="149">
        <f t="shared" si="13"/>
        <v>315349.24950000003</v>
      </c>
      <c r="JU17" s="151" t="s">
        <v>63</v>
      </c>
      <c r="JV17" s="43">
        <v>0</v>
      </c>
      <c r="JW17" s="149"/>
      <c r="JX17" s="43">
        <v>0</v>
      </c>
      <c r="JY17" s="149"/>
      <c r="JZ17" s="43">
        <v>950437.2</v>
      </c>
      <c r="KA17" s="149"/>
      <c r="KB17" s="43">
        <v>-220233.12200000006</v>
      </c>
      <c r="KC17" s="149"/>
      <c r="KD17" s="43">
        <v>0</v>
      </c>
      <c r="KE17" s="149"/>
      <c r="KF17" s="149">
        <f t="shared" si="14"/>
        <v>730204.07799999986</v>
      </c>
      <c r="KG17" s="150"/>
      <c r="KH17" s="150"/>
      <c r="KI17" s="151" t="s">
        <v>63</v>
      </c>
      <c r="KJ17" s="43">
        <v>0</v>
      </c>
      <c r="KK17" s="149"/>
      <c r="KL17" s="43">
        <v>0</v>
      </c>
      <c r="KM17" s="149"/>
      <c r="KN17" s="43">
        <v>749535.33</v>
      </c>
      <c r="KO17" s="149"/>
      <c r="KP17" s="43">
        <v>-11853.871500000037</v>
      </c>
      <c r="KQ17" s="149"/>
      <c r="KR17" s="43">
        <v>0</v>
      </c>
      <c r="KS17" s="149"/>
      <c r="KT17" s="149">
        <f t="shared" si="38"/>
        <v>737681.45849999995</v>
      </c>
      <c r="KU17" s="150"/>
      <c r="KV17" s="150"/>
      <c r="KW17" s="148" t="s">
        <v>63</v>
      </c>
      <c r="KX17" s="43">
        <v>0</v>
      </c>
      <c r="KY17" s="149"/>
      <c r="KZ17" s="43">
        <v>0</v>
      </c>
      <c r="LA17" s="149"/>
      <c r="LB17" s="43">
        <v>413629.98</v>
      </c>
      <c r="LC17" s="149"/>
      <c r="LD17" s="43">
        <v>220851.54899999997</v>
      </c>
      <c r="LE17" s="149"/>
      <c r="LF17" s="43">
        <v>0</v>
      </c>
      <c r="LG17" s="149"/>
      <c r="LH17" s="149">
        <f t="shared" si="39"/>
        <v>634481.52899999998</v>
      </c>
      <c r="LI17" s="150"/>
      <c r="LJ17" s="151" t="s">
        <v>63</v>
      </c>
      <c r="LK17" s="43">
        <v>0</v>
      </c>
      <c r="LL17" s="149"/>
      <c r="LM17" s="43">
        <v>0</v>
      </c>
      <c r="LN17" s="149"/>
      <c r="LO17" s="43">
        <v>205621.66</v>
      </c>
      <c r="LQ17" s="43">
        <v>82478.959499999983</v>
      </c>
      <c r="LS17" s="43">
        <v>0</v>
      </c>
      <c r="LU17" s="43">
        <f t="shared" si="15"/>
        <v>288100.61949999997</v>
      </c>
      <c r="LW17" s="151" t="s">
        <v>63</v>
      </c>
      <c r="LX17" s="43">
        <v>0</v>
      </c>
      <c r="LY17" s="149"/>
      <c r="LZ17" s="43">
        <v>0</v>
      </c>
      <c r="MA17" s="149"/>
      <c r="MB17" s="43">
        <v>3652552.8200000003</v>
      </c>
      <c r="MC17" s="149"/>
      <c r="MD17" s="43">
        <v>216581.56799999997</v>
      </c>
      <c r="ME17" s="149"/>
      <c r="MF17" s="43">
        <v>0</v>
      </c>
      <c r="MG17" s="149"/>
      <c r="MH17" s="149">
        <f t="shared" si="16"/>
        <v>3869134.3880000003</v>
      </c>
      <c r="MI17" s="150"/>
      <c r="MJ17" s="150"/>
      <c r="MK17" s="151" t="s">
        <v>63</v>
      </c>
      <c r="ML17" s="43">
        <v>0</v>
      </c>
      <c r="MM17" s="149"/>
      <c r="MN17" s="43">
        <v>0</v>
      </c>
      <c r="MO17" s="149"/>
      <c r="MP17" s="43">
        <v>3568553.93</v>
      </c>
      <c r="MQ17" s="149"/>
      <c r="MR17" s="43">
        <v>255103.23850000001</v>
      </c>
      <c r="MS17" s="149"/>
      <c r="MT17" s="43">
        <v>0</v>
      </c>
      <c r="MU17" s="149"/>
      <c r="MV17" s="149">
        <f t="shared" si="40"/>
        <v>3823657.1685000001</v>
      </c>
      <c r="MW17" s="150"/>
      <c r="MX17" s="150"/>
      <c r="MY17" s="148" t="s">
        <v>63</v>
      </c>
      <c r="MZ17" s="43">
        <v>0</v>
      </c>
      <c r="NA17" s="149"/>
      <c r="NB17" s="43">
        <v>0</v>
      </c>
      <c r="NC17" s="149"/>
      <c r="ND17" s="43">
        <v>3331325.3200000003</v>
      </c>
      <c r="NE17" s="149"/>
      <c r="NF17" s="43">
        <v>177496.51439291998</v>
      </c>
      <c r="NG17" s="149"/>
      <c r="NH17" s="43">
        <v>0</v>
      </c>
      <c r="NI17" s="149"/>
      <c r="NJ17" s="149">
        <f t="shared" si="41"/>
        <v>3508821.8343929201</v>
      </c>
      <c r="NK17" s="150"/>
      <c r="NL17" s="151" t="s">
        <v>63</v>
      </c>
      <c r="NM17" s="43">
        <v>0</v>
      </c>
      <c r="NN17" s="149"/>
      <c r="NO17" s="43">
        <v>0</v>
      </c>
      <c r="NP17" s="149"/>
      <c r="NQ17" s="158">
        <v>858540</v>
      </c>
      <c r="NS17" s="43">
        <v>387302.44489291997</v>
      </c>
      <c r="NU17" s="43">
        <v>0</v>
      </c>
      <c r="NW17" s="43">
        <f t="shared" si="17"/>
        <v>1245842.4448929201</v>
      </c>
      <c r="NY17" s="59" t="s">
        <v>63</v>
      </c>
      <c r="NZ17" s="43">
        <v>0</v>
      </c>
      <c r="OA17" s="43">
        <v>0</v>
      </c>
      <c r="OB17" s="43">
        <v>0</v>
      </c>
      <c r="OD17" s="43">
        <v>10449851.51</v>
      </c>
      <c r="OF17" s="43">
        <v>-797781.53133333381</v>
      </c>
      <c r="OH17" s="43">
        <v>0</v>
      </c>
      <c r="OJ17" s="43">
        <f t="shared" si="18"/>
        <v>9652069.9786666669</v>
      </c>
      <c r="OK17" s="67"/>
      <c r="OL17" s="59" t="s">
        <v>63</v>
      </c>
      <c r="OM17" s="43">
        <v>0</v>
      </c>
      <c r="ON17" s="43"/>
      <c r="OO17" s="43">
        <v>0</v>
      </c>
      <c r="OQ17" s="130">
        <v>0</v>
      </c>
      <c r="OS17" s="43">
        <v>2500605.729166666</v>
      </c>
      <c r="OU17" s="43">
        <v>0</v>
      </c>
      <c r="OW17" s="43">
        <f t="shared" si="19"/>
        <v>2500605.729166666</v>
      </c>
      <c r="OX17" s="67"/>
      <c r="OY17" s="152" t="s">
        <v>63</v>
      </c>
      <c r="OZ17" s="43">
        <v>0</v>
      </c>
      <c r="PA17" s="43"/>
      <c r="PB17" s="43">
        <v>0</v>
      </c>
      <c r="PD17" s="130"/>
      <c r="PF17" s="43">
        <v>2281450.2496666661</v>
      </c>
      <c r="PH17" s="43">
        <v>0</v>
      </c>
      <c r="PJ17" s="43">
        <f t="shared" si="20"/>
        <v>2281450.2496666661</v>
      </c>
      <c r="PK17" s="67"/>
      <c r="PL17" s="59" t="s">
        <v>63</v>
      </c>
      <c r="PM17" s="43">
        <v>0</v>
      </c>
      <c r="PN17" s="43"/>
      <c r="PO17" s="43">
        <v>0</v>
      </c>
      <c r="PQ17" s="130"/>
      <c r="PS17" s="43">
        <v>1861773.0800000005</v>
      </c>
      <c r="PU17" s="43">
        <v>0</v>
      </c>
      <c r="PW17" s="43">
        <f t="shared" si="21"/>
        <v>1861773.0800000005</v>
      </c>
      <c r="PX17" s="67"/>
      <c r="PY17" s="59" t="s">
        <v>63</v>
      </c>
      <c r="PZ17" s="43">
        <v>0</v>
      </c>
      <c r="QA17" s="43"/>
      <c r="QB17" s="43">
        <v>0</v>
      </c>
      <c r="QD17" s="43">
        <v>0</v>
      </c>
      <c r="QF17" s="43">
        <v>1604486</v>
      </c>
      <c r="QH17" s="43">
        <v>0</v>
      </c>
      <c r="QJ17" s="43">
        <f t="shared" si="22"/>
        <v>1604486</v>
      </c>
      <c r="QK17" s="67"/>
      <c r="QL17" s="59" t="s">
        <v>63</v>
      </c>
      <c r="QM17" s="43"/>
      <c r="QN17" s="43"/>
      <c r="QS17" s="43">
        <v>1198848.6000000001</v>
      </c>
      <c r="QU17" s="43">
        <v>0</v>
      </c>
      <c r="QW17" s="43">
        <f t="shared" si="23"/>
        <v>1198848.6000000001</v>
      </c>
      <c r="QX17" s="67"/>
      <c r="QY17" s="59" t="s">
        <v>63</v>
      </c>
      <c r="QZ17" s="43"/>
      <c r="RA17" s="43"/>
      <c r="RF17" s="43">
        <v>760074.93</v>
      </c>
      <c r="RH17" s="43">
        <v>0</v>
      </c>
      <c r="RJ17" s="43">
        <f t="shared" si="24"/>
        <v>760074.93</v>
      </c>
      <c r="RK17" s="67"/>
      <c r="RL17" s="59" t="s">
        <v>63</v>
      </c>
      <c r="RM17" s="43"/>
      <c r="RN17" s="43"/>
      <c r="RS17" s="55">
        <v>2680727.04</v>
      </c>
      <c r="RU17" s="43">
        <v>0</v>
      </c>
      <c r="RW17" s="43">
        <f t="shared" si="25"/>
        <v>2680727.04</v>
      </c>
      <c r="RX17" s="67"/>
      <c r="RY17" s="59" t="s">
        <v>63</v>
      </c>
      <c r="RZ17" s="43"/>
      <c r="SA17" s="43"/>
      <c r="SF17" s="55">
        <v>1530678.75</v>
      </c>
      <c r="SH17" s="43">
        <v>0</v>
      </c>
      <c r="SJ17" s="43">
        <f t="shared" si="26"/>
        <v>1530678.75</v>
      </c>
      <c r="SK17" s="67"/>
      <c r="SL17" s="59" t="s">
        <v>63</v>
      </c>
      <c r="SM17" s="43"/>
      <c r="SN17" s="43"/>
      <c r="SS17" s="43">
        <v>1097531.46</v>
      </c>
      <c r="SU17" s="43">
        <v>0</v>
      </c>
      <c r="SW17" s="43">
        <f t="shared" si="27"/>
        <v>1097531.46</v>
      </c>
      <c r="SX17" s="67"/>
      <c r="SY17" s="59" t="s">
        <v>63</v>
      </c>
      <c r="SZ17" s="43"/>
      <c r="TA17" s="43"/>
      <c r="TF17" s="43">
        <v>385154.11000000004</v>
      </c>
      <c r="TH17" s="43">
        <v>0</v>
      </c>
      <c r="TJ17" s="43">
        <f t="shared" si="28"/>
        <v>385154.11000000004</v>
      </c>
      <c r="TK17" s="67"/>
      <c r="TL17" s="59" t="s">
        <v>63</v>
      </c>
      <c r="TM17" s="43"/>
      <c r="TN17" s="43"/>
      <c r="TS17" s="43">
        <v>348854.39</v>
      </c>
      <c r="TW17" s="43">
        <f t="shared" si="29"/>
        <v>348854.39</v>
      </c>
      <c r="TX17" s="67"/>
      <c r="TY17" s="59" t="s">
        <v>63</v>
      </c>
      <c r="TZ17" s="43"/>
      <c r="UA17" s="43"/>
      <c r="UF17" s="55">
        <v>28255.54</v>
      </c>
      <c r="UH17" s="43">
        <v>-75313.39</v>
      </c>
      <c r="UJ17" s="43">
        <f t="shared" si="30"/>
        <v>-47057.85</v>
      </c>
      <c r="UK17" s="67"/>
      <c r="UL17" s="67" t="s">
        <v>63</v>
      </c>
      <c r="UM17" s="43">
        <v>0</v>
      </c>
      <c r="UN17" s="43"/>
      <c r="UO17" s="43">
        <v>0</v>
      </c>
      <c r="UQ17" s="43">
        <v>0</v>
      </c>
      <c r="US17" s="43">
        <v>-25949.29</v>
      </c>
      <c r="UU17" s="43">
        <v>-52247.02</v>
      </c>
      <c r="UW17" s="43">
        <v>-78196.31</v>
      </c>
      <c r="UX17" s="67"/>
      <c r="UY17" s="67" t="s">
        <v>63</v>
      </c>
      <c r="UZ17" s="43">
        <v>0</v>
      </c>
      <c r="VA17" s="43"/>
      <c r="VB17" s="43">
        <v>0</v>
      </c>
      <c r="VD17" s="43">
        <v>0</v>
      </c>
      <c r="VF17" s="43">
        <f>32.09084*1000</f>
        <v>32090.84</v>
      </c>
      <c r="VH17" s="43">
        <f>-23.33792*1000</f>
        <v>-23337.920000000002</v>
      </c>
      <c r="VJ17" s="43">
        <f>8.75292*1000</f>
        <v>8752.92</v>
      </c>
      <c r="VK17" s="67"/>
      <c r="VL17" s="60" t="s">
        <v>63</v>
      </c>
      <c r="VM17" s="43">
        <v>0</v>
      </c>
      <c r="VN17" s="43"/>
      <c r="VO17" s="43">
        <v>0</v>
      </c>
      <c r="VQ17" s="43">
        <v>0</v>
      </c>
      <c r="VS17" s="43">
        <v>-68171.429999999993</v>
      </c>
      <c r="VU17" s="43">
        <v>-22136.3</v>
      </c>
      <c r="VW17" s="43">
        <f t="shared" si="31"/>
        <v>-90307.73</v>
      </c>
      <c r="VX17" s="67"/>
      <c r="VY17" s="60" t="s">
        <v>63</v>
      </c>
      <c r="VZ17" s="43"/>
      <c r="WA17" s="43"/>
      <c r="WF17" s="43">
        <f>(356.81969+2.35929)*1000</f>
        <v>359178.98</v>
      </c>
      <c r="WJ17" s="43">
        <f t="shared" si="32"/>
        <v>359178.98</v>
      </c>
      <c r="WK17" s="67"/>
      <c r="WL17" s="67" t="s">
        <v>63</v>
      </c>
      <c r="WM17" s="43">
        <v>0</v>
      </c>
      <c r="WN17" s="43"/>
      <c r="WP17" s="43">
        <v>0</v>
      </c>
      <c r="WQ17" s="43">
        <v>0</v>
      </c>
      <c r="WR17" s="43">
        <v>0</v>
      </c>
      <c r="WS17" s="43">
        <v>201112.97</v>
      </c>
      <c r="WT17" s="43">
        <v>0</v>
      </c>
      <c r="WU17" s="43">
        <v>0</v>
      </c>
      <c r="WW17" s="43">
        <v>-201112.97000000006</v>
      </c>
      <c r="WX17" s="43"/>
      <c r="WY17" s="67" t="s">
        <v>63</v>
      </c>
      <c r="WZ17" s="43">
        <v>0</v>
      </c>
      <c r="XA17" s="43"/>
      <c r="XB17" s="43">
        <v>0</v>
      </c>
      <c r="XD17" s="43">
        <v>0</v>
      </c>
      <c r="XF17" s="43">
        <f>6.21771*1000</f>
        <v>6217.71</v>
      </c>
      <c r="XH17" s="43">
        <f>4.16871*1000</f>
        <v>4168.71</v>
      </c>
      <c r="XJ17" s="43">
        <f>10.38642*1000</f>
        <v>10386.42</v>
      </c>
      <c r="XK17" s="43"/>
      <c r="XL17" s="67" t="s">
        <v>63</v>
      </c>
      <c r="XM17" s="43">
        <v>0</v>
      </c>
      <c r="XN17" s="43"/>
      <c r="XO17" s="43">
        <v>0</v>
      </c>
      <c r="XQ17" s="43">
        <v>0</v>
      </c>
      <c r="XS17" s="43">
        <v>187773.72</v>
      </c>
      <c r="XU17" s="43">
        <v>-20126.133495405302</v>
      </c>
      <c r="XW17" s="43">
        <f t="shared" si="33"/>
        <v>167647.58650459471</v>
      </c>
      <c r="XX17" s="43"/>
      <c r="XY17" s="60" t="s">
        <v>63</v>
      </c>
      <c r="XZ17" s="43"/>
      <c r="YA17" s="43"/>
      <c r="YF17" s="43">
        <f>84.82831*1000</f>
        <v>84828.31</v>
      </c>
      <c r="YJ17" s="43">
        <f t="shared" si="34"/>
        <v>84828.31</v>
      </c>
    </row>
    <row r="18" spans="1:660">
      <c r="B18" s="193"/>
      <c r="C18" s="193"/>
      <c r="D18" s="164"/>
      <c r="E18" s="164"/>
      <c r="G18" s="164"/>
      <c r="H18" s="164"/>
      <c r="I18" s="164"/>
      <c r="J18" s="164"/>
      <c r="K18" s="164"/>
      <c r="L18" s="164"/>
      <c r="P18" s="193"/>
      <c r="Q18" s="193"/>
      <c r="R18" s="164"/>
      <c r="S18" s="164"/>
      <c r="U18" s="164"/>
      <c r="V18" s="164"/>
      <c r="W18" s="164"/>
      <c r="X18" s="164"/>
      <c r="Y18" s="164"/>
      <c r="Z18" s="164"/>
      <c r="AD18" s="193"/>
      <c r="AE18" s="193"/>
      <c r="AF18" s="164"/>
      <c r="AG18" s="164"/>
      <c r="AI18" s="164"/>
      <c r="AJ18" s="164"/>
      <c r="AK18" s="164"/>
      <c r="AL18" s="164"/>
      <c r="AM18" s="164"/>
      <c r="AN18" s="164"/>
      <c r="AR18" s="193"/>
      <c r="AS18" s="193"/>
      <c r="AT18" s="164"/>
      <c r="AU18" s="164"/>
      <c r="AW18" s="164"/>
      <c r="AX18" s="164"/>
      <c r="AY18" s="164"/>
      <c r="AZ18" s="164"/>
      <c r="BA18" s="164"/>
      <c r="BB18" s="164"/>
      <c r="BF18" s="193"/>
      <c r="BG18" s="193"/>
      <c r="BH18" s="164"/>
      <c r="BI18" s="164"/>
      <c r="BK18" s="164"/>
      <c r="BL18" s="164"/>
      <c r="BM18" s="164"/>
      <c r="BN18" s="164"/>
      <c r="BO18" s="164"/>
      <c r="BP18" s="164"/>
      <c r="BT18" s="193"/>
      <c r="BU18" s="193"/>
      <c r="BV18" s="164"/>
      <c r="BW18" s="164"/>
      <c r="BY18" s="164"/>
      <c r="BZ18" s="164"/>
      <c r="CA18" s="164"/>
      <c r="CB18" s="164"/>
      <c r="CC18" s="164"/>
      <c r="CD18" s="164"/>
      <c r="CH18" s="193"/>
      <c r="CI18" s="193"/>
      <c r="CJ18" s="164"/>
      <c r="CK18" s="164"/>
      <c r="CM18" s="164"/>
      <c r="CN18" s="164"/>
      <c r="CO18" s="164"/>
      <c r="CP18" s="164"/>
      <c r="CQ18" s="164"/>
      <c r="CR18" s="164"/>
      <c r="CV18" s="193"/>
      <c r="CW18" s="193"/>
      <c r="CX18" s="164"/>
      <c r="CY18" s="164"/>
      <c r="DA18" s="164"/>
      <c r="DB18" s="164"/>
      <c r="DC18" s="164"/>
      <c r="DD18" s="164"/>
      <c r="DE18" s="164"/>
      <c r="DF18" s="164"/>
      <c r="DJ18" s="193"/>
      <c r="DK18" s="193"/>
      <c r="DL18" s="164"/>
      <c r="DM18" s="164"/>
      <c r="DO18" s="164"/>
      <c r="DP18" s="164"/>
      <c r="DQ18" s="164"/>
      <c r="DR18" s="164"/>
      <c r="DS18" s="164"/>
      <c r="DT18" s="164"/>
      <c r="ER18" s="156"/>
      <c r="GV18" s="156"/>
      <c r="LB18" s="156"/>
      <c r="LO18" s="156"/>
      <c r="ND18" s="156"/>
      <c r="NQ18" s="156"/>
      <c r="OD18" s="156"/>
      <c r="OK18" s="66"/>
      <c r="OQ18" s="130"/>
      <c r="OX18" s="66"/>
      <c r="PD18" s="130"/>
      <c r="PK18" s="66"/>
      <c r="PQ18" s="130"/>
      <c r="PX18" s="66"/>
      <c r="QK18" s="66"/>
      <c r="QX18" s="66"/>
      <c r="RK18" s="66"/>
      <c r="RX18" s="66"/>
      <c r="SK18" s="66"/>
      <c r="SX18" s="66"/>
      <c r="TK18" s="66"/>
      <c r="TX18" s="66"/>
      <c r="UK18" s="66"/>
      <c r="UL18" s="66"/>
      <c r="UX18" s="66"/>
      <c r="UY18" s="66"/>
      <c r="VK18" s="66"/>
      <c r="VX18" s="66"/>
      <c r="WK18" s="66"/>
      <c r="WL18" s="66"/>
      <c r="WX18" s="43"/>
      <c r="WY18" s="66"/>
      <c r="XK18" s="43"/>
      <c r="XL18" s="66"/>
      <c r="XX18" s="43"/>
    </row>
    <row r="19" spans="1:660" ht="11" thickBot="1">
      <c r="A19" s="48" t="s">
        <v>150</v>
      </c>
      <c r="B19" s="167"/>
      <c r="C19" s="196"/>
      <c r="D19" s="167"/>
      <c r="E19" s="166"/>
      <c r="F19" s="167"/>
      <c r="G19" s="166"/>
      <c r="H19" s="167"/>
      <c r="I19" s="166"/>
      <c r="J19" s="167"/>
      <c r="K19" s="166"/>
      <c r="L19" s="167"/>
      <c r="O19" s="48" t="s">
        <v>150</v>
      </c>
      <c r="P19" s="167"/>
      <c r="Q19" s="196"/>
      <c r="R19" s="167"/>
      <c r="S19" s="166"/>
      <c r="T19" s="167"/>
      <c r="U19" s="166"/>
      <c r="V19" s="167"/>
      <c r="W19" s="166"/>
      <c r="X19" s="167"/>
      <c r="Y19" s="166"/>
      <c r="Z19" s="167"/>
      <c r="AC19" s="48" t="s">
        <v>150</v>
      </c>
      <c r="AD19" s="167"/>
      <c r="AE19" s="196"/>
      <c r="AF19" s="167"/>
      <c r="AG19" s="166"/>
      <c r="AH19" s="167"/>
      <c r="AI19" s="166"/>
      <c r="AJ19" s="167"/>
      <c r="AK19" s="166"/>
      <c r="AL19" s="167"/>
      <c r="AM19" s="166"/>
      <c r="AN19" s="167"/>
      <c r="AQ19" s="48" t="s">
        <v>150</v>
      </c>
      <c r="AR19" s="167">
        <f>AR5+AR10</f>
        <v>48450699.716456592</v>
      </c>
      <c r="AS19" s="196"/>
      <c r="AT19" s="167">
        <f>AT5+AT10</f>
        <v>3015387.7337871883</v>
      </c>
      <c r="AU19" s="166"/>
      <c r="AV19" s="167">
        <f>AV5+AV10</f>
        <v>-4913144.5500000007</v>
      </c>
      <c r="AW19" s="166"/>
      <c r="AX19" s="167">
        <f>AX5+AX10</f>
        <v>-5144000.9688104279</v>
      </c>
      <c r="AY19" s="166"/>
      <c r="AZ19" s="167">
        <f>AZ5+AZ10</f>
        <v>47460.420000000042</v>
      </c>
      <c r="BA19" s="166"/>
      <c r="BB19" s="167">
        <f>BB5+BB10</f>
        <v>41456402.351433367</v>
      </c>
      <c r="BE19" s="48" t="s">
        <v>150</v>
      </c>
      <c r="BF19" s="167">
        <f>BF5+BF10</f>
        <v>137855929.76733917</v>
      </c>
      <c r="BG19" s="196"/>
      <c r="BH19" s="167">
        <f>BH5+BH10</f>
        <v>12868731.938215382</v>
      </c>
      <c r="BI19" s="166"/>
      <c r="BJ19" s="167">
        <f>BJ5+BJ10</f>
        <v>-23285829.66</v>
      </c>
      <c r="BK19" s="166"/>
      <c r="BL19" s="167">
        <f>BL5+BL10</f>
        <v>-20774822.969375089</v>
      </c>
      <c r="BM19" s="166"/>
      <c r="BN19" s="167">
        <f>BN5+BN10</f>
        <v>278725.72491666768</v>
      </c>
      <c r="BO19" s="166"/>
      <c r="BP19" s="167">
        <f>BP5+BP10</f>
        <v>106942734.80109614</v>
      </c>
      <c r="BS19" s="48" t="s">
        <v>150</v>
      </c>
      <c r="BT19" s="167">
        <f>BT5+BT10</f>
        <v>104544431.67300844</v>
      </c>
      <c r="BU19" s="196"/>
      <c r="BV19" s="167">
        <f>BV5+BV10</f>
        <v>9411081.8579576239</v>
      </c>
      <c r="BW19" s="166"/>
      <c r="BX19" s="167">
        <f>BX5+BX10</f>
        <v>-17379400.859999999</v>
      </c>
      <c r="BY19" s="166"/>
      <c r="BZ19" s="167">
        <f>BZ5+BZ10</f>
        <v>-14183062.947415264</v>
      </c>
      <c r="CA19" s="166"/>
      <c r="CB19" s="167">
        <f>CB5+CB10</f>
        <v>256896.78610277828</v>
      </c>
      <c r="CC19" s="166"/>
      <c r="CD19" s="167">
        <f>CD5+CD10</f>
        <v>82649946.509653509</v>
      </c>
      <c r="CG19" s="48" t="s">
        <v>150</v>
      </c>
      <c r="CH19" s="167">
        <f>CH5+CH10</f>
        <v>74053627.4695912</v>
      </c>
      <c r="CI19" s="196"/>
      <c r="CJ19" s="167">
        <f>CJ5+CJ10</f>
        <v>6824810.5744871758</v>
      </c>
      <c r="CK19" s="166"/>
      <c r="CL19" s="167">
        <f>CL5+CL10</f>
        <v>-9309733.2799999993</v>
      </c>
      <c r="CM19" s="166"/>
      <c r="CN19" s="167">
        <f>CN5+CN10</f>
        <v>-9762578.4879906047</v>
      </c>
      <c r="CO19" s="166"/>
      <c r="CP19" s="167">
        <f>CP5+CP10</f>
        <v>170644.08147144038</v>
      </c>
      <c r="CQ19" s="166"/>
      <c r="CR19" s="167">
        <f>CR5+CR10</f>
        <v>61976770.357559264</v>
      </c>
      <c r="CU19" s="48" t="s">
        <v>150</v>
      </c>
      <c r="CV19" s="167">
        <f>CV5+CV10</f>
        <v>51908809.328220546</v>
      </c>
      <c r="CW19" s="196"/>
      <c r="CX19" s="167">
        <f>CX5+CX10</f>
        <v>3282729.9021068132</v>
      </c>
      <c r="CY19" s="166"/>
      <c r="CZ19" s="167">
        <f>CZ5+CZ10</f>
        <v>-4108606.5500000003</v>
      </c>
      <c r="DA19" s="166"/>
      <c r="DB19" s="167">
        <f>DB5+DB10</f>
        <v>-5801535.3928943882</v>
      </c>
      <c r="DC19" s="166"/>
      <c r="DD19" s="167">
        <f>DD5+DD10</f>
        <v>85760.790000000154</v>
      </c>
      <c r="DE19" s="166"/>
      <c r="DF19" s="167">
        <f>DF5+DF10</f>
        <v>45367158.07743299</v>
      </c>
      <c r="DI19" s="48" t="s">
        <v>150</v>
      </c>
      <c r="DJ19" s="167">
        <f>DJ5+DJ10</f>
        <v>95361762.661358416</v>
      </c>
      <c r="DK19" s="196"/>
      <c r="DL19" s="167">
        <f>DL5+DL10</f>
        <v>7937826.8946314231</v>
      </c>
      <c r="DM19" s="166"/>
      <c r="DN19" s="167">
        <f>DN5+DN10</f>
        <v>-15664060.27</v>
      </c>
      <c r="DO19" s="166"/>
      <c r="DP19" s="167">
        <f>DP5+DP10</f>
        <v>-20579383.771657947</v>
      </c>
      <c r="DQ19" s="166"/>
      <c r="DR19" s="167">
        <f>DR5+DR10</f>
        <v>806173.42566812597</v>
      </c>
      <c r="DS19" s="166"/>
      <c r="DT19" s="167">
        <f>DT5+DT10</f>
        <v>67862318.939999998</v>
      </c>
      <c r="DW19" s="48" t="s">
        <v>150</v>
      </c>
      <c r="DX19" s="53">
        <f>DX5+DX10</f>
        <v>62453951.239770055</v>
      </c>
      <c r="DY19" s="50"/>
      <c r="DZ19" s="53">
        <f>DZ5+DZ10</f>
        <v>5422706.804452613</v>
      </c>
      <c r="EA19" s="49"/>
      <c r="EB19" s="167">
        <f>EB5+EB10</f>
        <v>-10542621.630000001</v>
      </c>
      <c r="EC19" s="49"/>
      <c r="ED19" s="53">
        <f>ED5+ED10</f>
        <v>-12628101.801028373</v>
      </c>
      <c r="EE19" s="49"/>
      <c r="EF19" s="53">
        <f>EF5+EF10</f>
        <v>140796.11755233351</v>
      </c>
      <c r="EG19" s="49"/>
      <c r="EH19" s="53">
        <f>EH5+EH10</f>
        <v>44846730.730746627</v>
      </c>
      <c r="EK19" s="48" t="s">
        <v>150</v>
      </c>
      <c r="EL19" s="53">
        <f>EL5+EL10</f>
        <v>38873379.261470437</v>
      </c>
      <c r="EM19" s="50"/>
      <c r="EN19" s="53">
        <f>EN5+EN10</f>
        <v>3072605.101451179</v>
      </c>
      <c r="EO19" s="49"/>
      <c r="EP19" s="167">
        <f>EP5+EP10</f>
        <v>-5679524.5200000005</v>
      </c>
      <c r="EQ19" s="49"/>
      <c r="ER19" s="159">
        <f>ER5+ER10</f>
        <v>-8463651.9694898091</v>
      </c>
      <c r="ES19" s="49"/>
      <c r="ET19" s="53">
        <f>ET5+ET10</f>
        <v>7742.2584839998744</v>
      </c>
      <c r="EU19" s="49"/>
      <c r="EV19" s="53">
        <f>EV5+EV10</f>
        <v>27810550.131915778</v>
      </c>
      <c r="EY19" s="48" t="s">
        <v>150</v>
      </c>
      <c r="EZ19" s="53">
        <f>EZ5+EZ10</f>
        <v>29771706.528231919</v>
      </c>
      <c r="FA19" s="50"/>
      <c r="FB19" s="53">
        <f>FB5+FB10</f>
        <v>669135.70359004568</v>
      </c>
      <c r="FC19" s="49"/>
      <c r="FD19" s="167">
        <f>FD5+FD10</f>
        <v>-2028903.9700000002</v>
      </c>
      <c r="FE19" s="49"/>
      <c r="FF19" s="53">
        <f>FF5+FF10</f>
        <v>-3794734.2564998604</v>
      </c>
      <c r="FG19" s="49"/>
      <c r="FH19" s="53">
        <f>FH5+FH10</f>
        <v>10798.940164687345</v>
      </c>
      <c r="FI19" s="49"/>
      <c r="FJ19" s="53">
        <f>FJ5+FJ10</f>
        <v>24628002.945486784</v>
      </c>
      <c r="FM19" s="48" t="s">
        <v>150</v>
      </c>
      <c r="FN19" s="53">
        <f>FN5+FN10</f>
        <v>27556326.37876758</v>
      </c>
      <c r="FO19" s="50"/>
      <c r="FP19" s="53">
        <f>FP5+FP10</f>
        <v>4856406.2952804901</v>
      </c>
      <c r="FQ19" s="49"/>
      <c r="FR19" s="167">
        <f>FR5+FR10</f>
        <v>-9337844.5999999996</v>
      </c>
      <c r="FS19" s="49"/>
      <c r="FT19" s="53">
        <f>FT5+FT10</f>
        <v>-5842710.0541495159</v>
      </c>
      <c r="FU19" s="49"/>
      <c r="FV19" s="53">
        <f>FV5+FV10</f>
        <v>385720.26300001424</v>
      </c>
      <c r="FW19" s="49"/>
      <c r="FX19" s="53">
        <f>FX5+FX10</f>
        <v>17617898.282898575</v>
      </c>
      <c r="GA19" s="48" t="s">
        <v>150</v>
      </c>
      <c r="GB19" s="53">
        <f>GB5+GB10</f>
        <v>14751229.277422532</v>
      </c>
      <c r="GC19" s="50"/>
      <c r="GD19" s="53">
        <f>GD5+GD10</f>
        <v>4309038.870000001</v>
      </c>
      <c r="GE19" s="49"/>
      <c r="GF19" s="167">
        <f>GF5+GF10</f>
        <v>-5196471.18</v>
      </c>
      <c r="GG19" s="49"/>
      <c r="GH19" s="53">
        <f>GH5+GH10</f>
        <v>-2112504.3024149537</v>
      </c>
      <c r="GI19" s="49"/>
      <c r="GJ19" s="53">
        <f>GJ5+GJ10</f>
        <v>-49624.357754533645</v>
      </c>
      <c r="GK19" s="49"/>
      <c r="GL19" s="53">
        <f>GL5+GL10</f>
        <v>11701668.307253063</v>
      </c>
      <c r="GO19" s="48" t="s">
        <v>150</v>
      </c>
      <c r="GP19" s="53">
        <f>GP5+GP10</f>
        <v>8330437.9603495076</v>
      </c>
      <c r="GQ19" s="50"/>
      <c r="GR19" s="53">
        <f>GR5+GR10</f>
        <v>3249079.7685000002</v>
      </c>
      <c r="GS19" s="49"/>
      <c r="GT19" s="167">
        <f>GT5+GT10</f>
        <v>-3367834.3699999996</v>
      </c>
      <c r="GU19" s="49"/>
      <c r="GV19" s="159">
        <f>GV5+GV10</f>
        <v>1400083.2728071362</v>
      </c>
      <c r="GW19" s="49"/>
      <c r="GX19" s="53">
        <f>GX5+GX10</f>
        <v>-97509.351284520933</v>
      </c>
      <c r="GY19" s="49"/>
      <c r="GZ19" s="53">
        <f>GZ5+GZ10</f>
        <v>9514257.2803721353</v>
      </c>
      <c r="HC19" s="48" t="s">
        <v>150</v>
      </c>
      <c r="HD19" s="53">
        <f>HD5+HD10</f>
        <v>3973416.770000007</v>
      </c>
      <c r="HE19" s="50"/>
      <c r="HF19" s="53">
        <f>HF5+HF10</f>
        <v>1565758.83</v>
      </c>
      <c r="HG19" s="49"/>
      <c r="HH19" s="167">
        <f>HH5+HH10</f>
        <v>-1679254.61</v>
      </c>
      <c r="HI19" s="49"/>
      <c r="HJ19" s="53">
        <f>HJ5+HJ10</f>
        <v>-1666435.7405000001</v>
      </c>
      <c r="HK19" s="49"/>
      <c r="HL19" s="53">
        <f>HL5+HL10</f>
        <v>-88266.44688523165</v>
      </c>
      <c r="HM19" s="49"/>
      <c r="HN19" s="53">
        <f>HN5+HN10</f>
        <v>2105218.8026147783</v>
      </c>
      <c r="HQ19" s="48" t="s">
        <v>150</v>
      </c>
      <c r="HR19" s="53">
        <f>HR5+HR10</f>
        <v>17342987.870000005</v>
      </c>
      <c r="HS19" s="50"/>
      <c r="HT19" s="53">
        <f>HT5+HT10</f>
        <v>5370013.4700000025</v>
      </c>
      <c r="HU19" s="49"/>
      <c r="HV19" s="167">
        <f>HV5+HV10</f>
        <v>-5148242.1800000006</v>
      </c>
      <c r="HW19" s="49"/>
      <c r="HX19" s="53">
        <f>HX5+HX10</f>
        <v>-6199543.6519999988</v>
      </c>
      <c r="HY19" s="49"/>
      <c r="HZ19" s="53">
        <f>HZ5+HZ10</f>
        <v>-178037.43999998504</v>
      </c>
      <c r="IA19" s="49"/>
      <c r="IB19" s="53">
        <f>IB5+IB10</f>
        <v>11187178.068000033</v>
      </c>
      <c r="IE19" s="48" t="s">
        <v>150</v>
      </c>
      <c r="IF19" s="53">
        <f>IF5+IF10</f>
        <v>11255741.989999995</v>
      </c>
      <c r="IG19" s="50"/>
      <c r="IH19" s="53">
        <f>IH5+IH10</f>
        <v>3750141.2199999988</v>
      </c>
      <c r="II19" s="49"/>
      <c r="IJ19" s="167">
        <f>IJ5+IJ10</f>
        <v>-4059241.44</v>
      </c>
      <c r="IK19" s="49"/>
      <c r="IL19" s="53">
        <f>IL5+IL10</f>
        <v>-4286988.9514999995</v>
      </c>
      <c r="IM19" s="49"/>
      <c r="IN19" s="53">
        <f>IN5+IN10</f>
        <v>-90883.717560894322</v>
      </c>
      <c r="IO19" s="49"/>
      <c r="IP19" s="53">
        <f>IP5+IP10</f>
        <v>6568769.1009391099</v>
      </c>
      <c r="IS19" s="48" t="s">
        <v>150</v>
      </c>
      <c r="IT19" s="53">
        <f>IT5+IT10</f>
        <v>10433549.850000001</v>
      </c>
      <c r="IU19" s="50"/>
      <c r="IV19" s="53">
        <f>IV5+IV10</f>
        <v>2135379.3200000003</v>
      </c>
      <c r="IW19" s="49"/>
      <c r="IX19" s="167">
        <f>IX5+IX10</f>
        <v>-2129258.77</v>
      </c>
      <c r="IY19" s="49"/>
      <c r="IZ19" s="53">
        <f>IZ5+IZ10</f>
        <v>-3345828.6710000001</v>
      </c>
      <c r="JA19" s="49"/>
      <c r="JB19" s="53">
        <f>JB5+JB10</f>
        <v>-7925.2358549204655</v>
      </c>
      <c r="JC19" s="49"/>
      <c r="JD19" s="53">
        <f>JD5+JD10</f>
        <v>7085916.4931450784</v>
      </c>
      <c r="JG19" s="48" t="s">
        <v>150</v>
      </c>
      <c r="JH19" s="53">
        <f>JH5+JH10</f>
        <v>6032844.6300000027</v>
      </c>
      <c r="JI19" s="50"/>
      <c r="JJ19" s="53">
        <f>JJ5+JJ10</f>
        <v>729231.66000000015</v>
      </c>
      <c r="JK19" s="49"/>
      <c r="JL19" s="167">
        <f>JL5+JL10</f>
        <v>-986335.2300000001</v>
      </c>
      <c r="JM19" s="49"/>
      <c r="JN19" s="53">
        <f>JN5+JN10</f>
        <v>-1540773.7105</v>
      </c>
      <c r="JO19" s="49"/>
      <c r="JP19" s="53">
        <f>JP5+JP10</f>
        <v>80531.748586547677</v>
      </c>
      <c r="JQ19" s="49"/>
      <c r="JR19" s="53">
        <f>JR5+JR10</f>
        <v>4315499.0980865471</v>
      </c>
      <c r="JU19" s="48" t="s">
        <v>150</v>
      </c>
      <c r="JV19" s="53">
        <f>JV5+JV10</f>
        <v>16889593.010000005</v>
      </c>
      <c r="JW19" s="50"/>
      <c r="JX19" s="53">
        <f>JX5+JX10</f>
        <v>6234548.2500000037</v>
      </c>
      <c r="JY19" s="49"/>
      <c r="JZ19" s="167">
        <f>JZ5+JZ10</f>
        <v>-4371109.4399999995</v>
      </c>
      <c r="KA19" s="49"/>
      <c r="KB19" s="53">
        <f>KB5+KB10</f>
        <v>-6891244.9220000003</v>
      </c>
      <c r="KC19" s="49"/>
      <c r="KD19" s="53">
        <f>KD5+KD10</f>
        <v>169639.06615440501</v>
      </c>
      <c r="KE19" s="49"/>
      <c r="KF19" s="53">
        <f>KF5+KF10</f>
        <v>12031425.964154422</v>
      </c>
      <c r="KI19" s="48" t="s">
        <v>150</v>
      </c>
      <c r="KJ19" s="53">
        <f>KJ5+KJ10</f>
        <v>11385401.649999991</v>
      </c>
      <c r="KK19" s="50"/>
      <c r="KL19" s="53">
        <f>KL5+KL10</f>
        <v>4895262.0000000037</v>
      </c>
      <c r="KM19" s="49"/>
      <c r="KN19" s="167">
        <f>KN5+KN10</f>
        <v>-3454748.1500000004</v>
      </c>
      <c r="KO19" s="49"/>
      <c r="KP19" s="53">
        <f>KP5+KP10</f>
        <v>-4763345.7715000007</v>
      </c>
      <c r="KQ19" s="49"/>
      <c r="KR19" s="53">
        <f>KR5+KR10</f>
        <v>108714.64767688466</v>
      </c>
      <c r="KS19" s="49"/>
      <c r="KT19" s="53">
        <f>KT5+KT10</f>
        <v>8171284.3761768639</v>
      </c>
      <c r="KW19" s="48" t="s">
        <v>150</v>
      </c>
      <c r="KX19" s="53">
        <f>KX5+KX10</f>
        <v>8481245.549999997</v>
      </c>
      <c r="KY19" s="50"/>
      <c r="KZ19" s="53">
        <f>KZ5+KZ10</f>
        <v>3720566.1400000006</v>
      </c>
      <c r="LA19" s="49"/>
      <c r="LB19" s="159">
        <f>LB5+LB10</f>
        <v>-2351290.3000000003</v>
      </c>
      <c r="LC19" s="49"/>
      <c r="LD19" s="53">
        <f>LD5+LD10</f>
        <v>-3225721.7710000006</v>
      </c>
      <c r="LE19" s="49"/>
      <c r="LF19" s="53">
        <f>LF5+LF10</f>
        <v>46064.649914934533</v>
      </c>
      <c r="LG19" s="49"/>
      <c r="LH19" s="53">
        <f>LH5+LH10</f>
        <v>6670864.268914938</v>
      </c>
      <c r="LJ19" s="48" t="s">
        <v>150</v>
      </c>
      <c r="LK19" s="53">
        <f>LK5+LK10</f>
        <v>4117043.8400000036</v>
      </c>
      <c r="LL19" s="50"/>
      <c r="LM19" s="53">
        <f>LM5+LM10</f>
        <v>2059479.7599999988</v>
      </c>
      <c r="LN19" s="49"/>
      <c r="LO19" s="159">
        <f>LO5+LO10</f>
        <v>-1210291.9100000001</v>
      </c>
      <c r="LP19" s="49"/>
      <c r="LQ19" s="53">
        <f>LQ5+LQ10</f>
        <v>-1671157.7505000001</v>
      </c>
      <c r="LR19" s="49"/>
      <c r="LS19" s="53">
        <f>LS5+LS10</f>
        <v>-9266.8957400125219</v>
      </c>
      <c r="LT19" s="49"/>
      <c r="LU19" s="53">
        <f>LU5+LU10</f>
        <v>3285807.0437599868</v>
      </c>
      <c r="LV19" s="49"/>
      <c r="LW19" s="48" t="s">
        <v>150</v>
      </c>
      <c r="LX19" s="53">
        <f>LX5+LX10</f>
        <v>19048503</v>
      </c>
      <c r="LY19" s="50"/>
      <c r="LZ19" s="53">
        <f>LZ5+LZ10</f>
        <v>5839503.5300000012</v>
      </c>
      <c r="MA19" s="49"/>
      <c r="MB19" s="167">
        <f>MB5+MB10</f>
        <v>-3509902.8299999991</v>
      </c>
      <c r="MC19" s="49"/>
      <c r="MD19" s="53">
        <f>MD5+MD10</f>
        <v>-8894349.1520000007</v>
      </c>
      <c r="ME19" s="49"/>
      <c r="MF19" s="53">
        <f>MF5+MF10</f>
        <v>231330.13000000035</v>
      </c>
      <c r="MG19" s="49"/>
      <c r="MH19" s="53">
        <f>MH5+MH10</f>
        <v>12715084.678000003</v>
      </c>
      <c r="MK19" s="48" t="s">
        <v>150</v>
      </c>
      <c r="ML19" s="53">
        <f>ML5+ML10</f>
        <v>16216736.920000017</v>
      </c>
      <c r="MM19" s="50"/>
      <c r="MN19" s="53">
        <f>MN5+MN10</f>
        <v>3949850.0199999958</v>
      </c>
      <c r="MO19" s="49"/>
      <c r="MP19" s="167">
        <f>MP5+MP10</f>
        <v>-2185697.23</v>
      </c>
      <c r="MQ19" s="49"/>
      <c r="MR19" s="53">
        <f>MR5+MR10</f>
        <v>-5892665.8114999998</v>
      </c>
      <c r="MS19" s="49"/>
      <c r="MT19" s="53">
        <f>MT5+MT10</f>
        <v>157379.53500000015</v>
      </c>
      <c r="MU19" s="49"/>
      <c r="MV19" s="53">
        <f>MV5+MV10</f>
        <v>12245603.433500022</v>
      </c>
      <c r="MY19" s="48" t="s">
        <v>150</v>
      </c>
      <c r="MZ19" s="53">
        <f>MZ5+MZ10</f>
        <v>14606279.789999999</v>
      </c>
      <c r="NA19" s="50"/>
      <c r="NB19" s="53">
        <f>NB5+NB10</f>
        <v>2619414.2800000012</v>
      </c>
      <c r="NC19" s="49"/>
      <c r="ND19" s="159">
        <f>ND5+ND10</f>
        <v>-1198439.9299999997</v>
      </c>
      <c r="NE19" s="49"/>
      <c r="NF19" s="53">
        <f>NF5+NF10</f>
        <v>-4066619.8556070803</v>
      </c>
      <c r="NG19" s="49"/>
      <c r="NH19" s="53">
        <f>NH5+NH10</f>
        <v>76359.820000000298</v>
      </c>
      <c r="NI19" s="49"/>
      <c r="NJ19" s="53">
        <f>NJ5+NJ10</f>
        <v>12036994.104392931</v>
      </c>
      <c r="NL19" s="48" t="s">
        <v>150</v>
      </c>
      <c r="NM19" s="53">
        <f>NM5+NM10</f>
        <v>11552064.699999996</v>
      </c>
      <c r="NN19" s="50"/>
      <c r="NO19" s="53">
        <f>NO5+NO10</f>
        <v>1169597.5999999996</v>
      </c>
      <c r="NP19" s="49"/>
      <c r="NQ19" s="159">
        <f>NQ5+NQ10</f>
        <v>-684638.23</v>
      </c>
      <c r="NR19" s="49"/>
      <c r="NS19" s="53">
        <f>NS5+NS10</f>
        <v>-1601666.6251070802</v>
      </c>
      <c r="NT19" s="49"/>
      <c r="NU19" s="53">
        <f>NU5+NU10</f>
        <v>6497.3449999996228</v>
      </c>
      <c r="NV19" s="49"/>
      <c r="NW19" s="53">
        <f>NW5+NW10</f>
        <v>10441854.789892919</v>
      </c>
      <c r="NY19" s="48" t="s">
        <v>150</v>
      </c>
      <c r="NZ19" s="53">
        <f>NZ5+NZ10</f>
        <v>6072752.0099999905</v>
      </c>
      <c r="OA19" s="50"/>
      <c r="OB19" s="53">
        <f>OB5+OB10</f>
        <v>8622280.620000001</v>
      </c>
      <c r="OC19" s="49"/>
      <c r="OD19" s="159">
        <f>OD5+OD10</f>
        <v>-3232677.0500000007</v>
      </c>
      <c r="OE19" s="49"/>
      <c r="OF19" s="53">
        <f>OF5+OF10</f>
        <v>447567.50976666529</v>
      </c>
      <c r="OG19" s="49"/>
      <c r="OH19" s="53">
        <f>OH5+OH10</f>
        <v>-278754.4978333218</v>
      </c>
      <c r="OI19" s="49"/>
      <c r="OJ19" s="53">
        <f>OJ5+OJ10</f>
        <v>11631168.59193334</v>
      </c>
      <c r="OK19" s="65"/>
      <c r="OL19" s="48" t="s">
        <v>150</v>
      </c>
      <c r="OM19" s="53">
        <f>OM5+OM10</f>
        <v>3958531.8899999857</v>
      </c>
      <c r="ON19" s="50"/>
      <c r="OO19" s="53">
        <f>OO5+OO10</f>
        <v>6351696.6400000118</v>
      </c>
      <c r="OP19" s="49"/>
      <c r="OQ19" s="132">
        <f>OQ5+OQ10</f>
        <v>0</v>
      </c>
      <c r="OR19" s="53">
        <f>OR5+OR10</f>
        <v>0</v>
      </c>
      <c r="OS19" s="53">
        <f>OS5+OS10</f>
        <v>4643692.1202666685</v>
      </c>
      <c r="OT19" s="49"/>
      <c r="OU19" s="53">
        <f>OU5+OU10</f>
        <v>-414359.17529166676</v>
      </c>
      <c r="OV19" s="49"/>
      <c r="OW19" s="53">
        <f>OW5+OW10</f>
        <v>14539561.47497502</v>
      </c>
      <c r="OX19" s="65"/>
      <c r="OY19" s="48" t="s">
        <v>150</v>
      </c>
      <c r="OZ19" s="53">
        <f>OZ5+OZ10</f>
        <v>4422990.0599999949</v>
      </c>
      <c r="PA19" s="50"/>
      <c r="PB19" s="53">
        <f>PB5+PB10</f>
        <v>5738741.9299999997</v>
      </c>
      <c r="PC19" s="49"/>
      <c r="PD19" s="132">
        <f>PD5+PD10</f>
        <v>0</v>
      </c>
      <c r="PE19" s="53"/>
      <c r="PF19" s="53">
        <f>PF5+PF10</f>
        <v>3101632.6396666667</v>
      </c>
      <c r="PG19" s="49"/>
      <c r="PH19" s="53">
        <f>PH5+PH10</f>
        <v>-377595.39716666751</v>
      </c>
      <c r="PI19" s="49"/>
      <c r="PJ19" s="53">
        <f>PJ5+PJ10</f>
        <v>12885769.232499994</v>
      </c>
      <c r="PK19" s="65"/>
      <c r="PL19" s="48" t="s">
        <v>150</v>
      </c>
      <c r="PM19" s="53">
        <f>PM5+PM10</f>
        <v>4322604.7899999991</v>
      </c>
      <c r="PN19" s="50"/>
      <c r="PO19" s="53">
        <f>PO5+PO10</f>
        <v>4519163.9100000039</v>
      </c>
      <c r="PP19" s="49"/>
      <c r="PQ19" s="132">
        <f>PQ5+PQ10</f>
        <v>0</v>
      </c>
      <c r="PR19" s="53">
        <f>PR5+PR10</f>
        <v>0</v>
      </c>
      <c r="PS19" s="53">
        <f>PS5+PS10</f>
        <v>-3250019.4499999993</v>
      </c>
      <c r="PT19" s="49"/>
      <c r="PU19" s="53">
        <f>PU5+PU10</f>
        <v>-155420.28979166597</v>
      </c>
      <c r="PV19" s="49"/>
      <c r="PW19" s="53">
        <f>PW5+PW10</f>
        <v>5436328.960208334</v>
      </c>
      <c r="PX19" s="65"/>
      <c r="PY19" s="48" t="s">
        <v>150</v>
      </c>
      <c r="PZ19" s="53">
        <f>PZ5+PZ10</f>
        <v>202780.90999999829</v>
      </c>
      <c r="QA19" s="50"/>
      <c r="QB19" s="53">
        <f>QB5+QB10</f>
        <v>3551816.2300000023</v>
      </c>
      <c r="QC19" s="49"/>
      <c r="QD19" s="53">
        <f>QD5+QD10</f>
        <v>-111404.9299999997</v>
      </c>
      <c r="QE19" s="53">
        <f>QE5+QE10</f>
        <v>0</v>
      </c>
      <c r="QF19" s="53">
        <f>QF5+QF10</f>
        <v>-2091857.3499999996</v>
      </c>
      <c r="QG19" s="49"/>
      <c r="QH19" s="53">
        <f>QH5+QH10</f>
        <v>-158984.5339166671</v>
      </c>
      <c r="QI19" s="49"/>
      <c r="QJ19" s="53">
        <f>QJ5+QJ10</f>
        <v>1392350.3260833323</v>
      </c>
      <c r="QK19" s="65"/>
      <c r="QL19" s="48" t="s">
        <v>150</v>
      </c>
      <c r="QM19" s="53">
        <f>QM5+QM10</f>
        <v>232717.30000000075</v>
      </c>
      <c r="QN19" s="50"/>
      <c r="QO19" s="53">
        <f>QO5+QO10</f>
        <v>2232048.0199999996</v>
      </c>
      <c r="QP19" s="49"/>
      <c r="QQ19" s="53">
        <f>QQ5+QQ10</f>
        <v>-76247.899999999907</v>
      </c>
      <c r="QR19" s="53">
        <f>QR5+QR10</f>
        <v>0</v>
      </c>
      <c r="QS19" s="53">
        <f>QS5+QS10</f>
        <v>-1455991.8299999996</v>
      </c>
      <c r="QT19" s="49"/>
      <c r="QU19" s="53">
        <f>QU5+QU10</f>
        <v>-194651.56000000006</v>
      </c>
      <c r="QV19" s="49"/>
      <c r="QW19" s="53">
        <f>QW5+QW10</f>
        <v>737874.02999999933</v>
      </c>
      <c r="QX19" s="65"/>
      <c r="QY19" s="48" t="s">
        <v>150</v>
      </c>
      <c r="QZ19" s="53">
        <f>QZ5+QZ10</f>
        <v>14160.829999999609</v>
      </c>
      <c r="RA19" s="50"/>
      <c r="RB19" s="53">
        <f>RB5+RB10</f>
        <v>903417.18999999948</v>
      </c>
      <c r="RC19" s="49"/>
      <c r="RD19" s="53">
        <f>RD5+RD10</f>
        <v>-80942.039999999921</v>
      </c>
      <c r="RE19" s="53">
        <f>RE5+RE10</f>
        <v>0</v>
      </c>
      <c r="RF19" s="53">
        <f>RF5+RF10</f>
        <v>-528476.69999999972</v>
      </c>
      <c r="RG19" s="49"/>
      <c r="RH19" s="53">
        <f>RH5+RH10</f>
        <v>-67179.260000000824</v>
      </c>
      <c r="RI19" s="49"/>
      <c r="RJ19" s="126">
        <f>RJ5+RJ10</f>
        <v>240980.01999999862</v>
      </c>
      <c r="RK19" s="65"/>
      <c r="RL19" s="48" t="s">
        <v>150</v>
      </c>
      <c r="RM19" s="53">
        <f>RM5+RM10</f>
        <v>1135202.6700000018</v>
      </c>
      <c r="RN19" s="50"/>
      <c r="RO19" s="53">
        <f>RO5+RO10</f>
        <v>4494741.2700000014</v>
      </c>
      <c r="RP19" s="49"/>
      <c r="RQ19" s="53">
        <f>RQ5+RQ10</f>
        <v>-350382.91999999993</v>
      </c>
      <c r="RR19" s="53">
        <f>RR5+RR10</f>
        <v>0</v>
      </c>
      <c r="RS19" s="53">
        <f>RS5+RS10</f>
        <v>-963154.9599999981</v>
      </c>
      <c r="RT19" s="49"/>
      <c r="RU19" s="53">
        <f>RU5+RU10</f>
        <v>-2188330.1400000025</v>
      </c>
      <c r="RV19" s="49"/>
      <c r="RW19" s="53">
        <f>RW5+RW10</f>
        <v>2128075.9200000018</v>
      </c>
      <c r="RX19" s="65"/>
      <c r="RY19" s="48" t="s">
        <v>150</v>
      </c>
      <c r="RZ19" s="53">
        <f>RZ5+RZ10</f>
        <v>879654.60999999568</v>
      </c>
      <c r="SA19" s="50"/>
      <c r="SB19" s="53">
        <f>SB5+SB10</f>
        <v>3061687.4700000007</v>
      </c>
      <c r="SC19" s="49"/>
      <c r="SD19" s="53">
        <f>SD5+SD10</f>
        <v>-283835.95000000019</v>
      </c>
      <c r="SE19" s="53">
        <f>SE5+SE10</f>
        <v>0</v>
      </c>
      <c r="SF19" s="53">
        <f>SF5+SF10</f>
        <v>-1559651.1400000001</v>
      </c>
      <c r="SG19" s="49"/>
      <c r="SH19" s="53">
        <f>SH5+SH10</f>
        <v>-1093211.4499999997</v>
      </c>
      <c r="SI19" s="49"/>
      <c r="SJ19" s="53">
        <f>SJ5+SJ10</f>
        <v>1004643.5399999917</v>
      </c>
      <c r="SK19" s="65"/>
      <c r="SL19" s="48" t="s">
        <v>150</v>
      </c>
      <c r="SM19" s="53">
        <f>SM5+SM10</f>
        <v>345016.46999999881</v>
      </c>
      <c r="SN19" s="50"/>
      <c r="SO19" s="53">
        <f>SO5+SO10</f>
        <v>1809103.9999999981</v>
      </c>
      <c r="SP19" s="49"/>
      <c r="SQ19" s="53">
        <f>SQ5+SQ10</f>
        <v>26894.389999999898</v>
      </c>
      <c r="SR19" s="53">
        <f>SR5+SR10</f>
        <v>0</v>
      </c>
      <c r="SS19" s="53">
        <f>SS5+SS10</f>
        <v>-868049.45000000065</v>
      </c>
      <c r="ST19" s="49"/>
      <c r="SU19" s="53">
        <f>SU5+SU10</f>
        <v>-927884.28999999957</v>
      </c>
      <c r="SV19" s="49"/>
      <c r="SW19" s="53">
        <f>SW5+SW10</f>
        <v>385081.11999999732</v>
      </c>
      <c r="SX19" s="65"/>
      <c r="SY19" s="48" t="s">
        <v>150</v>
      </c>
      <c r="SZ19" s="53">
        <f>SZ5+SZ10</f>
        <v>-34560.080000001006</v>
      </c>
      <c r="TA19" s="50"/>
      <c r="TB19" s="53">
        <f>TB5+TB10</f>
        <v>775172.13999999966</v>
      </c>
      <c r="TC19" s="49"/>
      <c r="TD19" s="53">
        <f>TD5+TD10</f>
        <v>81655.279999999912</v>
      </c>
      <c r="TE19" s="53">
        <f>TE5+TE10</f>
        <v>0</v>
      </c>
      <c r="TF19" s="53">
        <f>TF5+TF10</f>
        <v>-767570.49999999977</v>
      </c>
      <c r="TG19" s="49"/>
      <c r="TH19" s="53">
        <f>TH5+TH10</f>
        <v>-18821.710000000079</v>
      </c>
      <c r="TI19" s="49"/>
      <c r="TJ19" s="53">
        <f>TJ5+TJ10</f>
        <v>35875.129999998026</v>
      </c>
      <c r="TK19" s="65"/>
      <c r="TL19" s="48" t="s">
        <v>150</v>
      </c>
      <c r="TM19" s="53">
        <f>TM5+TM10</f>
        <v>3344546.6300000101</v>
      </c>
      <c r="TN19" s="50"/>
      <c r="TO19" s="53">
        <f>TO5+TO10</f>
        <v>609243.19999999925</v>
      </c>
      <c r="TP19" s="49"/>
      <c r="TQ19" s="53">
        <f>TQ5+TQ10</f>
        <v>-55150.459999999963</v>
      </c>
      <c r="TR19" s="53">
        <f>TR5+TR10</f>
        <v>0</v>
      </c>
      <c r="TS19" s="53">
        <f>TS5+TS10</f>
        <v>-4269927.02999999</v>
      </c>
      <c r="TT19" s="49"/>
      <c r="TU19" s="53">
        <f>TU5+TU10</f>
        <v>-197936.11999999452</v>
      </c>
      <c r="TV19" s="49"/>
      <c r="TW19" s="53">
        <f>TW5+TW10</f>
        <v>-569223.77999998629</v>
      </c>
      <c r="TX19" s="65"/>
      <c r="TY19" s="48" t="s">
        <v>150</v>
      </c>
      <c r="TZ19" s="53">
        <f>TZ5+TZ10</f>
        <v>1617737.9799999967</v>
      </c>
      <c r="UA19" s="50"/>
      <c r="UB19" s="53">
        <f>UB5+UB10</f>
        <v>647474.9700000016</v>
      </c>
      <c r="UC19" s="49"/>
      <c r="UD19" s="53">
        <f>UD5+UD10</f>
        <v>111629.47999999952</v>
      </c>
      <c r="UE19" s="53">
        <f>UE5+UE10</f>
        <v>0</v>
      </c>
      <c r="UF19" s="53">
        <f>UF5+UF10</f>
        <v>-3512585.4699999969</v>
      </c>
      <c r="UG19" s="49"/>
      <c r="UH19" s="53">
        <f>UH5+UH10</f>
        <v>-118662.68999999575</v>
      </c>
      <c r="UI19" s="49"/>
      <c r="UJ19" s="53">
        <f>UJ5+UJ10</f>
        <v>-1254405.7299999893</v>
      </c>
      <c r="UK19" s="65"/>
      <c r="UL19" s="65" t="s">
        <v>150</v>
      </c>
      <c r="UM19" s="53">
        <v>-1186642.7800000012</v>
      </c>
      <c r="UN19" s="50"/>
      <c r="UO19" s="53">
        <v>248218.62999999896</v>
      </c>
      <c r="UP19" s="49"/>
      <c r="UQ19" s="53">
        <v>-47986.520000000019</v>
      </c>
      <c r="UR19" s="49"/>
      <c r="US19" s="53">
        <v>-2366694.21</v>
      </c>
      <c r="UT19" s="49"/>
      <c r="UU19" s="53">
        <v>-87880.489999999758</v>
      </c>
      <c r="UW19" s="53">
        <v>-3440985.370000001</v>
      </c>
      <c r="UX19" s="65"/>
      <c r="UY19" s="65" t="s">
        <v>150</v>
      </c>
      <c r="UZ19" s="53">
        <f>388.270630000001*1000</f>
        <v>388270.63000000099</v>
      </c>
      <c r="VA19" s="50"/>
      <c r="VB19" s="53">
        <f>11.6926300000005*1000</f>
        <v>11692.630000000501</v>
      </c>
      <c r="VC19" s="49"/>
      <c r="VD19" s="53">
        <f>-85.50053*1000</f>
        <v>-85500.53</v>
      </c>
      <c r="VE19" s="49"/>
      <c r="VF19" s="53">
        <f>-1099.9016*1000</f>
        <v>-1099901.5999999999</v>
      </c>
      <c r="VG19" s="49"/>
      <c r="VH19" s="53">
        <f>-28.6155899999999*1000</f>
        <v>-28615.589999999902</v>
      </c>
      <c r="VJ19" s="53">
        <f>-814.054459999998*1000</f>
        <v>-814054.45999999798</v>
      </c>
      <c r="VK19" s="65"/>
      <c r="VL19" s="48" t="s">
        <v>150</v>
      </c>
      <c r="VM19" s="53">
        <f>VM5+VM10</f>
        <v>5625862.2300000042</v>
      </c>
      <c r="VN19" s="50"/>
      <c r="VO19" s="53">
        <f>VO5+VO10</f>
        <v>3835492.5599999987</v>
      </c>
      <c r="VP19" s="49"/>
      <c r="VQ19" s="53">
        <f>VQ5+VQ10</f>
        <v>868156.14999999944</v>
      </c>
      <c r="VR19" s="53"/>
      <c r="VS19" s="53">
        <f>VS5+VS10</f>
        <v>-4603568.67</v>
      </c>
      <c r="VT19" s="49"/>
      <c r="VU19" s="53">
        <f>VU5+VU10</f>
        <v>-968497.69999999739</v>
      </c>
      <c r="VV19" s="49"/>
      <c r="VW19" s="53">
        <f>VW5+VW10</f>
        <v>4757444.5700000077</v>
      </c>
      <c r="VX19" s="65"/>
      <c r="VY19" s="48" t="s">
        <v>150</v>
      </c>
      <c r="VZ19" s="53">
        <f>VZ5+VZ10</f>
        <v>636355.6099999994</v>
      </c>
      <c r="WA19" s="50"/>
      <c r="WB19" s="53">
        <f>WB5+WB10</f>
        <v>3836438.1579400655</v>
      </c>
      <c r="WC19" s="49"/>
      <c r="WD19" s="53">
        <f>WD5+WD10</f>
        <v>364187</v>
      </c>
      <c r="WE19" s="53">
        <f>WE5+WE10</f>
        <v>0</v>
      </c>
      <c r="WF19" s="53">
        <f>WF5+WF10</f>
        <v>-2184813</v>
      </c>
      <c r="WG19" s="49"/>
      <c r="WH19" s="53">
        <f>WH5+WH10</f>
        <v>0</v>
      </c>
      <c r="WI19" s="49"/>
      <c r="WJ19" s="53">
        <f>WJ5+WJ10</f>
        <v>2652167.7679400668</v>
      </c>
      <c r="WK19" s="65"/>
      <c r="WL19" s="65" t="s">
        <v>150</v>
      </c>
      <c r="WM19" s="53">
        <v>367165.09293379821</v>
      </c>
      <c r="WN19" s="50"/>
      <c r="WO19" s="53">
        <v>2309018.8200000012</v>
      </c>
      <c r="WP19" s="49"/>
      <c r="WQ19" s="53">
        <v>290267.74000000046</v>
      </c>
      <c r="WR19" s="49"/>
      <c r="WS19" s="53">
        <v>-1585173.3499999982</v>
      </c>
      <c r="WT19" s="49"/>
      <c r="WU19" s="53">
        <v>0</v>
      </c>
      <c r="WW19" s="53">
        <v>1381278.3029337972</v>
      </c>
      <c r="WX19" s="49"/>
      <c r="WY19" s="65" t="s">
        <v>150</v>
      </c>
      <c r="WZ19" s="53">
        <f>-667.46335*1000</f>
        <v>-667463.35</v>
      </c>
      <c r="XA19" s="50"/>
      <c r="XB19" s="53">
        <f>1103.06674*1000</f>
        <v>1103066.74</v>
      </c>
      <c r="XC19" s="49"/>
      <c r="XD19" s="53">
        <f>195.58921*1000</f>
        <v>195589.21000000002</v>
      </c>
      <c r="XE19" s="49">
        <v>0</v>
      </c>
      <c r="XF19" s="53">
        <f>-720.039583533103*1000</f>
        <v>-720039.583533103</v>
      </c>
      <c r="XG19" s="49"/>
      <c r="XH19" s="53">
        <f>361.24702*1000</f>
        <v>361247.02</v>
      </c>
      <c r="XJ19" s="53">
        <f>272.400036466897*1000</f>
        <v>272400.036466897</v>
      </c>
      <c r="XK19" s="49"/>
      <c r="XL19" s="65" t="s">
        <v>150</v>
      </c>
      <c r="XM19" s="53">
        <f>XM5+XM10</f>
        <v>7305488.3477091864</v>
      </c>
      <c r="XN19" s="50"/>
      <c r="XO19" s="53">
        <f>XO5+XO10</f>
        <v>6759377.540000001</v>
      </c>
      <c r="XP19" s="49"/>
      <c r="XQ19" s="53">
        <f>XQ5+XQ10</f>
        <v>487026.91000000015</v>
      </c>
      <c r="XR19" s="49"/>
      <c r="XS19" s="53">
        <f>XS5+XS10</f>
        <v>-2674779.3576676352</v>
      </c>
      <c r="XT19" s="49"/>
      <c r="XU19" s="53">
        <f>XU5-XU10</f>
        <v>-8964766.3787954226</v>
      </c>
      <c r="XW19" s="53">
        <f>XW5+XW10</f>
        <v>10347554.474255323</v>
      </c>
      <c r="XX19" s="49"/>
      <c r="XY19" s="48" t="s">
        <v>150</v>
      </c>
      <c r="XZ19" s="53">
        <f>XZ5+XZ10</f>
        <v>1153841.2100000009</v>
      </c>
      <c r="YA19" s="50"/>
      <c r="YB19" s="53">
        <f>YB5+YB10</f>
        <v>4606747.9000000022</v>
      </c>
      <c r="YC19" s="49"/>
      <c r="YD19" s="53">
        <f>YD5+YD10</f>
        <v>535479</v>
      </c>
      <c r="YE19" s="49"/>
      <c r="YF19" s="53">
        <f>YF5+YF10</f>
        <v>-1385708.4669409906</v>
      </c>
      <c r="YG19" s="49"/>
      <c r="YH19" s="53">
        <f>YH5-YH10</f>
        <v>-7976324.9199999999</v>
      </c>
      <c r="YJ19" s="53">
        <f>YJ5+YJ10</f>
        <v>4910359.6430590153</v>
      </c>
    </row>
    <row r="20" spans="1:660">
      <c r="A20" s="45" t="s">
        <v>62</v>
      </c>
      <c r="B20" s="164"/>
      <c r="C20" s="193"/>
      <c r="D20" s="164"/>
      <c r="E20" s="164"/>
      <c r="G20" s="164"/>
      <c r="H20" s="164"/>
      <c r="I20" s="164"/>
      <c r="J20" s="164"/>
      <c r="K20" s="164"/>
      <c r="L20" s="164"/>
      <c r="O20" s="45" t="s">
        <v>62</v>
      </c>
      <c r="P20" s="164"/>
      <c r="Q20" s="193"/>
      <c r="R20" s="164"/>
      <c r="S20" s="164"/>
      <c r="U20" s="164"/>
      <c r="V20" s="164"/>
      <c r="W20" s="164"/>
      <c r="X20" s="164"/>
      <c r="Y20" s="164"/>
      <c r="Z20" s="164"/>
      <c r="AC20" s="45" t="s">
        <v>62</v>
      </c>
      <c r="AD20" s="43"/>
      <c r="AE20" s="193"/>
      <c r="AG20" s="164"/>
      <c r="AH20" s="43"/>
      <c r="AI20" s="164"/>
      <c r="AK20" s="164"/>
      <c r="AM20" s="164"/>
      <c r="AN20" s="164"/>
      <c r="AQ20" s="45" t="s">
        <v>62</v>
      </c>
      <c r="AR20" s="43">
        <v>-2156093.0129415463</v>
      </c>
      <c r="AS20" s="193"/>
      <c r="AT20" s="43">
        <v>-889963.47716343089</v>
      </c>
      <c r="AU20" s="164"/>
      <c r="AV20" s="43">
        <v>-337360.74999999977</v>
      </c>
      <c r="AW20" s="164"/>
      <c r="AX20" s="43">
        <v>-1654221.4066354292</v>
      </c>
      <c r="AY20" s="164"/>
      <c r="AZ20" s="43">
        <v>47460.42</v>
      </c>
      <c r="BA20" s="164"/>
      <c r="BB20" s="164">
        <f>SUM(AR20:AZ20)</f>
        <v>-4990178.2267404068</v>
      </c>
      <c r="BE20" s="45" t="s">
        <v>62</v>
      </c>
      <c r="BF20" s="164">
        <v>-5721601.0099999998</v>
      </c>
      <c r="BG20" s="193"/>
      <c r="BH20" s="164">
        <v>-3407906.9</v>
      </c>
      <c r="BI20" s="164"/>
      <c r="BJ20" s="164">
        <v>-1172947.53</v>
      </c>
      <c r="BK20" s="164"/>
      <c r="BL20" s="164">
        <v>-6506704.2400000002</v>
      </c>
      <c r="BM20" s="164"/>
      <c r="BN20" s="164">
        <v>276093.23</v>
      </c>
      <c r="BO20" s="164"/>
      <c r="BP20" s="164">
        <f>SUM(BF20:BN20)</f>
        <v>-16533066.449999999</v>
      </c>
      <c r="BS20" s="45" t="s">
        <v>62</v>
      </c>
      <c r="BT20" s="164">
        <v>-3724514.1254762928</v>
      </c>
      <c r="BU20" s="193"/>
      <c r="BV20" s="164">
        <v>-2544660.101588144</v>
      </c>
      <c r="BW20" s="164"/>
      <c r="BX20" s="164">
        <v>-852020.74000000546</v>
      </c>
      <c r="BY20" s="164"/>
      <c r="BZ20" s="164">
        <v>-4889882.753061818</v>
      </c>
      <c r="CA20" s="164"/>
      <c r="CB20" s="164">
        <v>145817.37</v>
      </c>
      <c r="CC20" s="164"/>
      <c r="CD20" s="164">
        <f>SUM(BT20:CB20)</f>
        <v>-11865260.350126261</v>
      </c>
      <c r="CG20" s="45" t="s">
        <v>62</v>
      </c>
      <c r="CH20" s="43">
        <v>-2506423.8987608883</v>
      </c>
      <c r="CI20" s="193"/>
      <c r="CJ20" s="43">
        <v>-1696528.2843920961</v>
      </c>
      <c r="CK20" s="164"/>
      <c r="CL20" s="43">
        <v>-557361.07000000076</v>
      </c>
      <c r="CM20" s="164"/>
      <c r="CN20" s="43">
        <v>-3270025.5834254366</v>
      </c>
      <c r="CO20" s="164"/>
      <c r="CP20" s="43">
        <v>97211.581533834265</v>
      </c>
      <c r="CQ20" s="164"/>
      <c r="CR20" s="164">
        <f>SUM(CH20:CP20)</f>
        <v>-7933127.255044587</v>
      </c>
      <c r="CU20" s="45" t="s">
        <v>62</v>
      </c>
      <c r="CV20" s="43">
        <v>-1221865.8934553736</v>
      </c>
      <c r="CW20" s="193"/>
      <c r="CX20" s="43">
        <v>-845248.16719604807</v>
      </c>
      <c r="CY20" s="164"/>
      <c r="CZ20" s="43">
        <v>-276830.58000000013</v>
      </c>
      <c r="DA20" s="164"/>
      <c r="DB20" s="43">
        <v>-1650906.4047253893</v>
      </c>
      <c r="DC20" s="164"/>
      <c r="DD20" s="43">
        <v>48605.79</v>
      </c>
      <c r="DE20" s="164"/>
      <c r="DF20" s="164">
        <f>SUM(CV20:DD20)</f>
        <v>-3946245.2553768111</v>
      </c>
      <c r="DI20" s="45" t="s">
        <v>62</v>
      </c>
      <c r="DJ20" s="164">
        <v>-3582025.3762643351</v>
      </c>
      <c r="DK20" s="193"/>
      <c r="DL20" s="164">
        <v>-3299701.91576791</v>
      </c>
      <c r="DM20" s="164"/>
      <c r="DN20" s="164">
        <v>-1187767.7600000021</v>
      </c>
      <c r="DO20" s="164"/>
      <c r="DP20" s="164">
        <v>-6900486.0217859466</v>
      </c>
      <c r="DQ20" s="164"/>
      <c r="DR20" s="164">
        <v>191913.88100000002</v>
      </c>
      <c r="DS20" s="164"/>
      <c r="DT20" s="164">
        <f>SUM(DJ20:DR20)</f>
        <v>-14778067.192818195</v>
      </c>
      <c r="DW20" s="45" t="s">
        <v>62</v>
      </c>
      <c r="DX20" s="43">
        <v>-2492099.0996111119</v>
      </c>
      <c r="DZ20" s="43">
        <v>-2450820.7408470041</v>
      </c>
      <c r="EB20" s="43">
        <v>-893553.99999999953</v>
      </c>
      <c r="ED20" s="43">
        <v>-5191698.7037365129</v>
      </c>
      <c r="EF20" s="43">
        <v>143308.09575000001</v>
      </c>
      <c r="EH20" s="43">
        <f>SUM(DX20:EF20)</f>
        <v>-10884864.448444627</v>
      </c>
      <c r="EK20" s="45" t="s">
        <v>62</v>
      </c>
      <c r="EL20" s="43">
        <v>-1218770.9878847753</v>
      </c>
      <c r="EN20" s="43">
        <v>-1661568.9797197408</v>
      </c>
      <c r="EP20" s="43">
        <v>-603022.76999999944</v>
      </c>
      <c r="ER20" s="43">
        <v>-3680201.596684231</v>
      </c>
      <c r="ET20" s="43">
        <v>94702.310500000021</v>
      </c>
      <c r="EV20" s="43">
        <f>SUM(EL20:ET20)</f>
        <v>-7068862.0237887464</v>
      </c>
      <c r="EY20" s="45" t="s">
        <v>62</v>
      </c>
      <c r="EZ20" s="43">
        <v>-571585.79293477559</v>
      </c>
      <c r="FB20" s="43">
        <v>-792757.17640995351</v>
      </c>
      <c r="FD20" s="43">
        <v>-295109.06</v>
      </c>
      <c r="FF20" s="43">
        <v>-1801219.3464998596</v>
      </c>
      <c r="FH20" s="43">
        <v>46578.595250000006</v>
      </c>
      <c r="FJ20" s="43">
        <f>SUM(EZ20:FH20)</f>
        <v>-3414092.7805945887</v>
      </c>
      <c r="FM20" s="45" t="s">
        <v>62</v>
      </c>
      <c r="FN20" s="43">
        <v>-2144984.4183103605</v>
      </c>
      <c r="FP20" s="43">
        <v>-2417356.6930000004</v>
      </c>
      <c r="FR20" s="43">
        <v>-1243381.3300000017</v>
      </c>
      <c r="FT20" s="43">
        <v>-5338570.9034362212</v>
      </c>
      <c r="FV20" s="43">
        <v>-895178.37936951057</v>
      </c>
      <c r="FX20" s="43">
        <f>SUM(FN20:FV20)</f>
        <v>-12039471.724116094</v>
      </c>
      <c r="GA20" s="45" t="s">
        <v>62</v>
      </c>
      <c r="GB20" s="43">
        <v>-1410598.0799999996</v>
      </c>
      <c r="GD20" s="43">
        <v>-1799904.1222500005</v>
      </c>
      <c r="GF20" s="43">
        <v>-950523.03999999957</v>
      </c>
      <c r="GH20" s="43">
        <v>-3543086.8929990809</v>
      </c>
      <c r="GJ20" s="43">
        <v>-768124.43113979069</v>
      </c>
      <c r="GL20" s="43">
        <f>SUM(GB20:GJ20)</f>
        <v>-8472236.5663888715</v>
      </c>
      <c r="GO20" s="45" t="s">
        <v>62</v>
      </c>
      <c r="GP20" s="43">
        <v>-882172.16999999958</v>
      </c>
      <c r="GR20" s="43">
        <v>-1192281.6615000002</v>
      </c>
      <c r="GT20" s="43">
        <v>-642327.97999999963</v>
      </c>
      <c r="GV20" s="156">
        <v>-1831164.9402679875</v>
      </c>
      <c r="GX20" s="43">
        <v>-538606.34825202089</v>
      </c>
      <c r="GZ20" s="43">
        <f>SUM(GP20:GX20)</f>
        <v>-5086553.1000200082</v>
      </c>
      <c r="HC20" s="45" t="s">
        <v>62</v>
      </c>
      <c r="HD20" s="43">
        <v>-385351.07000000007</v>
      </c>
      <c r="HF20" s="43">
        <v>-552701.84</v>
      </c>
      <c r="HH20" s="43">
        <v>-321048.34999999998</v>
      </c>
      <c r="HJ20" s="43">
        <v>-512308.30000000016</v>
      </c>
      <c r="HL20" s="43">
        <v>-308713.93753523193</v>
      </c>
      <c r="HN20" s="43">
        <f>SUM(HD20:HL20)</f>
        <v>-2080123.497535232</v>
      </c>
      <c r="HQ20" s="45" t="s">
        <v>62</v>
      </c>
      <c r="HR20" s="43">
        <v>-1293381.8800000001</v>
      </c>
      <c r="HT20" s="43">
        <v>-2193516.3699999996</v>
      </c>
      <c r="HV20" s="43">
        <v>-1354175.1200000031</v>
      </c>
      <c r="HX20" s="43">
        <v>-2140117.8499999996</v>
      </c>
      <c r="HZ20" s="43">
        <v>-993650.68</v>
      </c>
      <c r="IB20" s="43">
        <f>SUM(HR20:HZ20)</f>
        <v>-7974841.9000000022</v>
      </c>
      <c r="IE20" s="45" t="s">
        <v>62</v>
      </c>
      <c r="IF20" s="43">
        <v>-952651.46000000008</v>
      </c>
      <c r="IH20" s="43">
        <v>-1642860.0699999998</v>
      </c>
      <c r="IJ20" s="43">
        <v>-1013110.920000001</v>
      </c>
      <c r="IL20" s="43">
        <v>-1654777.1900000002</v>
      </c>
      <c r="IN20" s="43">
        <v>-683799.43981092446</v>
      </c>
      <c r="IP20" s="43">
        <f>SUM(IF20:IN20)</f>
        <v>-5947199.0798109248</v>
      </c>
      <c r="IS20" s="45" t="s">
        <v>62</v>
      </c>
      <c r="IT20" s="43">
        <v>-603115.07000000007</v>
      </c>
      <c r="IV20" s="43">
        <v>-1093214.1499999999</v>
      </c>
      <c r="IX20" s="43">
        <v>-677061.75000000012</v>
      </c>
      <c r="IZ20" s="43">
        <v>-1095353.9900000012</v>
      </c>
      <c r="JB20" s="43">
        <v>-375394.53735492053</v>
      </c>
      <c r="JD20" s="43">
        <f>SUM(IT20:JB20)</f>
        <v>-3844139.4973549219</v>
      </c>
      <c r="JG20" s="45" t="s">
        <v>62</v>
      </c>
      <c r="JH20" s="43">
        <v>-290523.38</v>
      </c>
      <c r="JJ20" s="43">
        <v>-544589.53</v>
      </c>
      <c r="JL20" s="43">
        <v>-342595.60000000073</v>
      </c>
      <c r="JN20" s="43">
        <v>-543740.38000000012</v>
      </c>
      <c r="JP20" s="43">
        <v>-88249.262163452266</v>
      </c>
      <c r="JR20" s="43">
        <f>SUM(JH20:JP20)</f>
        <v>-1809698.1521634532</v>
      </c>
      <c r="JU20" s="45" t="s">
        <v>62</v>
      </c>
      <c r="JV20" s="43">
        <v>-915358.8599999994</v>
      </c>
      <c r="JX20" s="43">
        <v>-2136135.59</v>
      </c>
      <c r="JZ20" s="43">
        <v>-1302435.7399999951</v>
      </c>
      <c r="KB20" s="43">
        <v>-1878520.7600000012</v>
      </c>
      <c r="KD20" s="43">
        <v>-303992.07929559529</v>
      </c>
      <c r="KF20" s="43">
        <f>SUM(JV20:KD20)</f>
        <v>-6536443.0292955907</v>
      </c>
      <c r="KI20" s="45" t="s">
        <v>62</v>
      </c>
      <c r="KJ20" s="43">
        <v>-663896.77999999991</v>
      </c>
      <c r="KL20" s="43">
        <v>-1596941.4299999997</v>
      </c>
      <c r="KN20" s="43">
        <v>-968776.39999999874</v>
      </c>
      <c r="KP20" s="43">
        <v>-1350587.7400000005</v>
      </c>
      <c r="KR20" s="43">
        <v>-212938.64292311567</v>
      </c>
      <c r="KT20" s="43">
        <f>SUM(KJ20:KR20)</f>
        <v>-4793140.9929231144</v>
      </c>
      <c r="KW20" s="45" t="s">
        <v>62</v>
      </c>
      <c r="KX20" s="43">
        <v>-438866.4600000002</v>
      </c>
      <c r="KZ20" s="43">
        <v>-1061294.68</v>
      </c>
      <c r="LB20" s="43">
        <v>-638340.93000000005</v>
      </c>
      <c r="LD20" s="43">
        <v>-891072.07000000123</v>
      </c>
      <c r="LF20" s="43">
        <v>-132863.50683506526</v>
      </c>
      <c r="LH20" s="43">
        <f>SUM(KX20:LF20)</f>
        <v>-3162437.6468350668</v>
      </c>
      <c r="LJ20" s="45" t="s">
        <v>62</v>
      </c>
      <c r="LK20" s="43">
        <v>-216246.19000000003</v>
      </c>
      <c r="LM20" s="43">
        <v>-650445.92074001988</v>
      </c>
      <c r="LO20" s="43">
        <v>-318041.61999999994</v>
      </c>
      <c r="LQ20" s="43">
        <v>-452559.30000000005</v>
      </c>
      <c r="LS20" s="43">
        <v>56245.125</v>
      </c>
      <c r="LU20" s="43">
        <f>SUM(LK20:LS20)</f>
        <v>-1581047.9057400199</v>
      </c>
      <c r="LW20" s="45" t="s">
        <v>62</v>
      </c>
      <c r="LX20" s="43">
        <v>-658492.2799999991</v>
      </c>
      <c r="LZ20" s="43">
        <v>-2001925.0899999999</v>
      </c>
      <c r="MB20" s="43">
        <v>-1114413.8899999999</v>
      </c>
      <c r="MD20" s="43">
        <v>-1487509.1900000018</v>
      </c>
      <c r="MF20" s="43">
        <v>25989.380000000005</v>
      </c>
      <c r="MH20" s="43">
        <f>SUM(LX20:MF20)</f>
        <v>-5236351.0700000012</v>
      </c>
      <c r="MK20" s="45" t="s">
        <v>62</v>
      </c>
      <c r="ML20" s="43">
        <v>-495390.29999999981</v>
      </c>
      <c r="MN20" s="43">
        <v>-1490275.8299999998</v>
      </c>
      <c r="MP20" s="43">
        <v>-835489.57000000111</v>
      </c>
      <c r="MR20" s="43">
        <v>-1175808.9500000023</v>
      </c>
      <c r="MT20" s="43">
        <v>19492.034999999974</v>
      </c>
      <c r="MV20" s="43">
        <f>SUM(ML20:MT20)</f>
        <v>-3977472.615000003</v>
      </c>
      <c r="MY20" s="45" t="s">
        <v>62</v>
      </c>
      <c r="MZ20" s="43">
        <v>-334420.21000000008</v>
      </c>
      <c r="NB20" s="43">
        <v>-989965.7300000001</v>
      </c>
      <c r="ND20" s="43">
        <v>-555997.96</v>
      </c>
      <c r="NF20" s="43">
        <v>-795615.1399999999</v>
      </c>
      <c r="NH20" s="43">
        <v>12994.690000000017</v>
      </c>
      <c r="NJ20" s="43">
        <f>SUM(MZ20:NH20)</f>
        <v>-2663004.35</v>
      </c>
      <c r="NL20" s="45" t="s">
        <v>62</v>
      </c>
      <c r="NM20" s="43">
        <v>-170426.21999999994</v>
      </c>
      <c r="NO20" s="43">
        <v>-492168.4800000001</v>
      </c>
      <c r="NQ20" s="158">
        <v>-273270</v>
      </c>
      <c r="NS20" s="43">
        <v>-406584.23000000004</v>
      </c>
      <c r="NU20" s="43">
        <v>6497.3450000000084</v>
      </c>
      <c r="NW20" s="43">
        <f>SUM(NM20:NU20)</f>
        <v>-1335951.5850000002</v>
      </c>
      <c r="NY20" s="45" t="s">
        <v>62</v>
      </c>
      <c r="NZ20" s="43">
        <v>-1029216.3300000024</v>
      </c>
      <c r="OA20" s="44">
        <v>0</v>
      </c>
      <c r="OB20" s="43">
        <v>-1624871.6099999999</v>
      </c>
      <c r="OD20" s="43">
        <v>-2116968.92</v>
      </c>
      <c r="OF20" s="43">
        <v>-2713564.18</v>
      </c>
      <c r="OH20" s="43">
        <v>132053.0199966667</v>
      </c>
      <c r="OJ20" s="43">
        <f>SUM(NZ20:OH20)</f>
        <v>-7352568.0200033365</v>
      </c>
      <c r="OK20" s="66"/>
      <c r="OL20" s="45" t="s">
        <v>62</v>
      </c>
      <c r="OM20" s="43">
        <v>-868327.39</v>
      </c>
      <c r="OO20" s="43">
        <v>-820004.16999999993</v>
      </c>
      <c r="OQ20" s="130">
        <v>0</v>
      </c>
      <c r="OS20" s="43">
        <v>-2696312.5100000002</v>
      </c>
      <c r="OU20" s="43">
        <v>111226.02470833331</v>
      </c>
      <c r="OW20" s="43">
        <f>SUM(OM20:OU20)</f>
        <v>-4273418.0452916669</v>
      </c>
      <c r="OX20" s="66"/>
      <c r="OY20" s="45" t="s">
        <v>62</v>
      </c>
      <c r="OZ20" s="43">
        <v>-705387.19999999984</v>
      </c>
      <c r="PB20" s="43">
        <v>-320262.53000000003</v>
      </c>
      <c r="PD20" s="130"/>
      <c r="PF20" s="43">
        <v>-2299400.3300000005</v>
      </c>
      <c r="PH20" s="43">
        <v>117432.13283333335</v>
      </c>
      <c r="PJ20" s="43">
        <f>SUM(OZ20:PH20)</f>
        <v>-3207617.9271666673</v>
      </c>
      <c r="PK20" s="66"/>
      <c r="PL20" s="45" t="s">
        <v>62</v>
      </c>
      <c r="PM20" s="43">
        <v>-539684.37</v>
      </c>
      <c r="PO20" s="43">
        <v>-208323.03000000003</v>
      </c>
      <c r="PQ20" s="130"/>
      <c r="PS20" s="43">
        <v>-1809383.5499999996</v>
      </c>
      <c r="PU20" s="43">
        <v>72756.440208333326</v>
      </c>
      <c r="PW20" s="43">
        <f>SUM(PM20:PU20)</f>
        <v>-2484634.5097916662</v>
      </c>
      <c r="PX20" s="66"/>
      <c r="PY20" s="45" t="s">
        <v>62</v>
      </c>
      <c r="PZ20" s="43">
        <v>-260615.84</v>
      </c>
      <c r="QB20" s="43">
        <v>-104099.89</v>
      </c>
      <c r="QD20" s="43">
        <v>-139582.23000000001</v>
      </c>
      <c r="QF20" s="43">
        <v>-1358759.3000000003</v>
      </c>
      <c r="QH20" s="43">
        <v>30492.126083333336</v>
      </c>
      <c r="QJ20" s="43">
        <f>SUM(PZ20:QH20)</f>
        <v>-1832565.133916667</v>
      </c>
      <c r="QK20" s="66"/>
      <c r="QL20" s="45" t="s">
        <v>62</v>
      </c>
      <c r="QM20" s="43">
        <v>-170341.08000000002</v>
      </c>
      <c r="QO20" s="43">
        <v>-29652.63</v>
      </c>
      <c r="QQ20" s="43">
        <v>-92384.7</v>
      </c>
      <c r="QS20" s="43">
        <v>-906979.62</v>
      </c>
      <c r="QU20" s="43">
        <v>1985.1</v>
      </c>
      <c r="QW20" s="43">
        <f>SUM(QM20:QU20)</f>
        <v>-1197372.93</v>
      </c>
      <c r="QX20" s="66"/>
      <c r="QY20" s="45" t="s">
        <v>62</v>
      </c>
      <c r="QZ20" s="43">
        <v>-83305.12000000001</v>
      </c>
      <c r="RB20" s="43">
        <v>-14614.53</v>
      </c>
      <c r="RD20" s="43">
        <v>-45106.35</v>
      </c>
      <c r="RF20" s="43">
        <v>-453726.35</v>
      </c>
      <c r="RH20" s="43">
        <v>992.55</v>
      </c>
      <c r="RJ20" s="127">
        <f>SUM(QZ20:RH20)</f>
        <v>-595759.79999999993</v>
      </c>
      <c r="RK20" s="66"/>
      <c r="RL20" s="45" t="s">
        <v>62</v>
      </c>
      <c r="RM20" s="43">
        <v>-334970.85000000003</v>
      </c>
      <c r="RO20" s="43">
        <v>-57711.270000000004</v>
      </c>
      <c r="RQ20" s="43">
        <v>-178960.48000000004</v>
      </c>
      <c r="RS20" s="43">
        <v>-1522727.8599999996</v>
      </c>
      <c r="RU20" s="43">
        <v>3970.04</v>
      </c>
      <c r="RW20" s="43">
        <f>SUM(RM20:RU20)</f>
        <v>-2090400.4199999997</v>
      </c>
      <c r="RX20" s="66"/>
      <c r="RY20" s="45" t="s">
        <v>62</v>
      </c>
      <c r="RZ20" s="43">
        <v>-248296.93999999997</v>
      </c>
      <c r="SB20" s="43">
        <v>-42615.920000000013</v>
      </c>
      <c r="SD20" s="43">
        <v>-131385.38</v>
      </c>
      <c r="SF20" s="43">
        <v>-1170957.4000000001</v>
      </c>
      <c r="SH20" s="43">
        <v>4055.8900000003205</v>
      </c>
      <c r="SJ20" s="43">
        <f>SUM(RZ20:SH20)</f>
        <v>-1589199.7499999998</v>
      </c>
      <c r="SK20" s="66"/>
      <c r="SL20" s="45" t="s">
        <v>62</v>
      </c>
      <c r="SM20" s="43">
        <v>-165180.56</v>
      </c>
      <c r="SN20" s="43"/>
      <c r="SO20" s="43">
        <v>-27952.440000000006</v>
      </c>
      <c r="SQ20" s="43">
        <v>-85243.760000000009</v>
      </c>
      <c r="SS20" s="43">
        <v>-775515.50999999989</v>
      </c>
      <c r="SU20" s="43">
        <v>2703.9100000001399</v>
      </c>
      <c r="SW20" s="43">
        <f>SUM(SM20:SU20)</f>
        <v>-1051188.3599999999</v>
      </c>
      <c r="SX20" s="66"/>
      <c r="SY20" s="45" t="s">
        <v>62</v>
      </c>
      <c r="SZ20" s="43">
        <v>-81941.509999999995</v>
      </c>
      <c r="TA20" s="43"/>
      <c r="TB20" s="43">
        <v>-37511.970000000008</v>
      </c>
      <c r="TD20" s="43">
        <v>-41620.880000000005</v>
      </c>
      <c r="TF20" s="43">
        <v>-386411.23999999993</v>
      </c>
      <c r="TH20" s="43">
        <v>1541.3199999999301</v>
      </c>
      <c r="TJ20" s="43">
        <f>SUM(SZ20:TH20)</f>
        <v>-545944.28</v>
      </c>
      <c r="TK20" s="66"/>
      <c r="TL20" s="45" t="s">
        <v>62</v>
      </c>
      <c r="TM20" s="43">
        <v>-872909.99000000011</v>
      </c>
      <c r="TO20" s="43">
        <v>-128839.65</v>
      </c>
      <c r="TQ20" s="43">
        <v>-267856.22000000003</v>
      </c>
      <c r="TS20" s="43">
        <v>-3082218.120000001</v>
      </c>
      <c r="TU20" s="43">
        <v>6165.2700000013301</v>
      </c>
      <c r="TW20" s="43">
        <f>SUM(TM20:TU20)</f>
        <v>-4345658.71</v>
      </c>
      <c r="TX20" s="66"/>
      <c r="TY20" s="45" t="s">
        <v>62</v>
      </c>
      <c r="TZ20" s="43">
        <v>-645275.36999999988</v>
      </c>
      <c r="UB20" s="43">
        <v>-91330.2</v>
      </c>
      <c r="UD20" s="43">
        <v>-192745.29</v>
      </c>
      <c r="UF20" s="43">
        <v>-2362153.0700000008</v>
      </c>
      <c r="UH20" s="43">
        <v>10148.990000000002</v>
      </c>
      <c r="UJ20" s="43">
        <f>SUM(TZ20:UH20)</f>
        <v>-3281354.9400000004</v>
      </c>
      <c r="UK20" s="66"/>
      <c r="UL20" s="66" t="s">
        <v>62</v>
      </c>
      <c r="UM20" s="43">
        <v>-420635.90999999992</v>
      </c>
      <c r="UN20" s="43"/>
      <c r="UO20" s="43">
        <v>-64364.02</v>
      </c>
      <c r="UQ20" s="43">
        <v>-118580.23</v>
      </c>
      <c r="US20" s="43">
        <v>-1577994.06</v>
      </c>
      <c r="UU20" s="43">
        <v>6916.7899999995698</v>
      </c>
      <c r="UW20" s="43">
        <v>-2174657.4300000002</v>
      </c>
      <c r="UX20" s="66"/>
      <c r="UY20" s="66" t="s">
        <v>62</v>
      </c>
      <c r="UZ20" s="43">
        <f>-220.26834*1000</f>
        <v>-220268.34</v>
      </c>
      <c r="VA20" s="43"/>
      <c r="VB20" s="43">
        <f>-32.20017*1000</f>
        <v>-32200.17</v>
      </c>
      <c r="VD20" s="43">
        <f>-52.93406*1000</f>
        <v>-52934.060000000005</v>
      </c>
      <c r="VF20" s="43">
        <f>-785.045980000001*1000</f>
        <v>-785045.98000000103</v>
      </c>
      <c r="VH20" s="43">
        <f>1.6525*1000</f>
        <v>1652.5</v>
      </c>
      <c r="VJ20" s="43">
        <f>-1088.79605*1000</f>
        <v>-1088796.0499999998</v>
      </c>
      <c r="VK20" s="66"/>
      <c r="VL20" s="45" t="s">
        <v>62</v>
      </c>
      <c r="VM20" s="43">
        <v>-738573.13000000012</v>
      </c>
      <c r="VO20" s="43">
        <v>-109402.94</v>
      </c>
      <c r="VQ20" s="43">
        <v>-228152.97999999998</v>
      </c>
      <c r="VS20" s="43">
        <v>-2817213.3899999997</v>
      </c>
      <c r="VT20" s="43" t="e">
        <f>#REF!</f>
        <v>#REF!</v>
      </c>
      <c r="VU20" s="43">
        <v>0</v>
      </c>
      <c r="VW20" s="43">
        <v>-3893342.4399999995</v>
      </c>
      <c r="VX20" s="66"/>
      <c r="VY20" s="45" t="s">
        <v>62</v>
      </c>
      <c r="VZ20" s="43">
        <f>(-26.755-54.834-440.866)*1000</f>
        <v>-522454.99999999994</v>
      </c>
      <c r="WB20" s="43">
        <f>-61.21413*1000</f>
        <v>-61214.13</v>
      </c>
      <c r="WD20" s="43">
        <f>(-125.806-33.122)*1000</f>
        <v>-158928</v>
      </c>
      <c r="WE20" s="43">
        <f>-125.806-33.122</f>
        <v>-158.928</v>
      </c>
      <c r="WF20" s="43">
        <f>-158769-1925.95606059931*1000</f>
        <v>-2084725.0605993099</v>
      </c>
      <c r="WH20" s="43">
        <f>-4.9575*1000</f>
        <v>-4957.5</v>
      </c>
      <c r="WJ20" s="43">
        <f>SUM(VZ20:WH20)</f>
        <v>-2832438.6185993096</v>
      </c>
      <c r="WK20" s="66"/>
      <c r="WL20" s="66" t="s">
        <v>62</v>
      </c>
      <c r="WM20" s="43">
        <v>-325001.99999999988</v>
      </c>
      <c r="WN20" s="43"/>
      <c r="WO20" s="43">
        <v>-37440.019999999997</v>
      </c>
      <c r="WQ20" s="43">
        <v>-104708</v>
      </c>
      <c r="WS20" s="43">
        <v>-1283170.0970662064</v>
      </c>
      <c r="WU20" s="43">
        <v>-3305.0000000000796</v>
      </c>
      <c r="WW20" s="43">
        <v>-1753625.1170662064</v>
      </c>
      <c r="WX20" s="43"/>
      <c r="WY20" s="66" t="s">
        <v>62</v>
      </c>
      <c r="WZ20" s="43">
        <f>-148.44659*1000</f>
        <v>-148446.59</v>
      </c>
      <c r="XA20" s="43"/>
      <c r="XB20" s="43">
        <v>-17075.099999999999</v>
      </c>
      <c r="XD20" s="43">
        <f>-50.9975*1000</f>
        <v>-50997.5</v>
      </c>
      <c r="XF20" s="43">
        <v>-552589.05353310308</v>
      </c>
      <c r="XH20" s="43">
        <f>1.6525*1000</f>
        <v>1652.5</v>
      </c>
      <c r="XJ20" s="43">
        <f>-767.455743533103*1000</f>
        <v>-767455.74353310303</v>
      </c>
      <c r="XK20" s="43"/>
      <c r="XL20" s="66" t="s">
        <v>62</v>
      </c>
      <c r="XM20" s="43">
        <v>-510884.5</v>
      </c>
      <c r="XN20" s="43" t="e">
        <f>#REF!</f>
        <v>#REF!</v>
      </c>
      <c r="XO20" s="43">
        <v>-64178.57</v>
      </c>
      <c r="XQ20" s="43">
        <v>-248408.67</v>
      </c>
      <c r="XS20" s="43">
        <v>-2220766.75413241</v>
      </c>
      <c r="XU20" s="43">
        <v>0</v>
      </c>
      <c r="XW20" s="43">
        <v>-3044238.4941324098</v>
      </c>
      <c r="XX20" s="43"/>
      <c r="XY20" s="45" t="s">
        <v>62</v>
      </c>
      <c r="XZ20" s="43">
        <f>-388.593*1000</f>
        <v>-388593</v>
      </c>
      <c r="YB20" s="43">
        <f>-43.99487*1000</f>
        <v>-43994.869999999995</v>
      </c>
      <c r="YD20" s="43">
        <f>-186.835*1000</f>
        <v>-186835</v>
      </c>
      <c r="YF20" s="43">
        <f>-1472.76372059931*1000</f>
        <v>-1472763.72059931</v>
      </c>
      <c r="YH20" s="43">
        <f>-4.593*1000</f>
        <v>-4593</v>
      </c>
      <c r="YJ20" s="43">
        <f>-2283.61459059931*1000</f>
        <v>-2283614.5905993097</v>
      </c>
    </row>
    <row r="21" spans="1:660">
      <c r="B21" s="193"/>
      <c r="C21" s="193"/>
      <c r="D21" s="164"/>
      <c r="E21" s="164"/>
      <c r="G21" s="164"/>
      <c r="H21" s="164"/>
      <c r="I21" s="164"/>
      <c r="J21" s="164"/>
      <c r="K21" s="164"/>
      <c r="L21" s="164"/>
      <c r="P21" s="193"/>
      <c r="Q21" s="193"/>
      <c r="R21" s="164"/>
      <c r="S21" s="164"/>
      <c r="U21" s="164"/>
      <c r="V21" s="164"/>
      <c r="W21" s="164"/>
      <c r="X21" s="164"/>
      <c r="Y21" s="164"/>
      <c r="Z21" s="164"/>
      <c r="AD21" s="193"/>
      <c r="AE21" s="193"/>
      <c r="AF21" s="164"/>
      <c r="AG21" s="164"/>
      <c r="AI21" s="164"/>
      <c r="AJ21" s="164"/>
      <c r="AK21" s="164"/>
      <c r="AL21" s="164"/>
      <c r="AM21" s="164"/>
      <c r="AN21" s="164"/>
      <c r="AR21" s="193"/>
      <c r="AS21" s="193"/>
      <c r="AT21" s="164"/>
      <c r="AU21" s="164"/>
      <c r="AW21" s="164"/>
      <c r="AX21" s="164"/>
      <c r="AY21" s="164"/>
      <c r="AZ21" s="164"/>
      <c r="BA21" s="164"/>
      <c r="BB21" s="164"/>
      <c r="BF21" s="193"/>
      <c r="BG21" s="193"/>
      <c r="BH21" s="164"/>
      <c r="BI21" s="164"/>
      <c r="BK21" s="164"/>
      <c r="BL21" s="164"/>
      <c r="BM21" s="164"/>
      <c r="BN21" s="164"/>
      <c r="BO21" s="164"/>
      <c r="BP21" s="164"/>
      <c r="BT21" s="193"/>
      <c r="BU21" s="193"/>
      <c r="BV21" s="164"/>
      <c r="BW21" s="164"/>
      <c r="BY21" s="164"/>
      <c r="BZ21" s="164"/>
      <c r="CA21" s="164"/>
      <c r="CB21" s="164"/>
      <c r="CC21" s="164"/>
      <c r="CD21" s="164"/>
      <c r="CH21" s="193"/>
      <c r="CI21" s="193"/>
      <c r="CJ21" s="164"/>
      <c r="CK21" s="164"/>
      <c r="CM21" s="164"/>
      <c r="CN21" s="164"/>
      <c r="CO21" s="164"/>
      <c r="CP21" s="164"/>
      <c r="CQ21" s="164"/>
      <c r="CR21" s="164"/>
      <c r="CV21" s="193"/>
      <c r="CW21" s="193"/>
      <c r="CX21" s="164"/>
      <c r="CY21" s="164"/>
      <c r="DA21" s="164"/>
      <c r="DB21" s="164"/>
      <c r="DC21" s="164"/>
      <c r="DD21" s="164"/>
      <c r="DE21" s="164"/>
      <c r="DF21" s="164"/>
      <c r="DJ21" s="193"/>
      <c r="DK21" s="193"/>
      <c r="DL21" s="164"/>
      <c r="DM21" s="164"/>
      <c r="DO21" s="164"/>
      <c r="DP21" s="164"/>
      <c r="DQ21" s="164"/>
      <c r="DR21" s="164"/>
      <c r="DS21" s="164"/>
      <c r="DT21" s="164"/>
      <c r="ER21" s="156"/>
      <c r="GV21" s="156"/>
      <c r="LB21" s="156"/>
      <c r="LO21" s="156"/>
      <c r="ND21" s="156"/>
      <c r="NQ21" s="156"/>
      <c r="OD21" s="156"/>
      <c r="OK21" s="66"/>
      <c r="OQ21" s="130"/>
      <c r="OX21" s="66"/>
      <c r="PD21" s="130"/>
      <c r="PK21" s="66"/>
      <c r="PQ21" s="130"/>
      <c r="PX21" s="66"/>
      <c r="QK21" s="66"/>
      <c r="QX21" s="66"/>
      <c r="RK21" s="66"/>
      <c r="RX21" s="66"/>
      <c r="SK21" s="66"/>
      <c r="SX21" s="66"/>
      <c r="TK21" s="66"/>
      <c r="TX21" s="66"/>
      <c r="UK21" s="66"/>
      <c r="UL21" s="66"/>
      <c r="UX21" s="66"/>
      <c r="UY21" s="66"/>
      <c r="VK21" s="66"/>
      <c r="VX21" s="66"/>
      <c r="WK21" s="66"/>
      <c r="WL21" s="66"/>
      <c r="WX21" s="43"/>
      <c r="WY21" s="66"/>
      <c r="XK21" s="43"/>
      <c r="XL21" s="66"/>
      <c r="XX21" s="43"/>
      <c r="XZ21" s="64"/>
      <c r="YA21" s="64"/>
      <c r="YB21" s="64"/>
      <c r="YC21" s="64"/>
      <c r="YD21" s="64"/>
      <c r="YE21" s="64"/>
      <c r="YF21" s="64"/>
      <c r="YG21" s="64"/>
      <c r="YH21" s="64"/>
      <c r="YI21" s="64"/>
      <c r="YJ21" s="64"/>
    </row>
    <row r="22" spans="1:660" ht="11" thickBot="1">
      <c r="A22" s="48" t="s">
        <v>151</v>
      </c>
      <c r="B22" s="167"/>
      <c r="C22" s="196"/>
      <c r="D22" s="167"/>
      <c r="E22" s="166"/>
      <c r="F22" s="167"/>
      <c r="G22" s="166"/>
      <c r="H22" s="167"/>
      <c r="I22" s="166"/>
      <c r="J22" s="167"/>
      <c r="K22" s="166"/>
      <c r="L22" s="167"/>
      <c r="O22" s="48" t="s">
        <v>151</v>
      </c>
      <c r="P22" s="167"/>
      <c r="Q22" s="196"/>
      <c r="R22" s="167"/>
      <c r="S22" s="166"/>
      <c r="T22" s="167"/>
      <c r="U22" s="166"/>
      <c r="V22" s="167"/>
      <c r="W22" s="166"/>
      <c r="X22" s="167"/>
      <c r="Y22" s="166"/>
      <c r="Z22" s="167"/>
      <c r="AC22" s="48" t="s">
        <v>151</v>
      </c>
      <c r="AD22" s="167"/>
      <c r="AE22" s="196"/>
      <c r="AF22" s="167"/>
      <c r="AG22" s="166"/>
      <c r="AH22" s="167"/>
      <c r="AI22" s="166"/>
      <c r="AJ22" s="167"/>
      <c r="AK22" s="166"/>
      <c r="AL22" s="167"/>
      <c r="AM22" s="166"/>
      <c r="AN22" s="167"/>
      <c r="AQ22" s="48" t="s">
        <v>151</v>
      </c>
      <c r="AR22" s="167">
        <f>AR19-AR20</f>
        <v>50606792.729398139</v>
      </c>
      <c r="AS22" s="196"/>
      <c r="AT22" s="167">
        <f>AT19-AT20</f>
        <v>3905351.2109506191</v>
      </c>
      <c r="AU22" s="166"/>
      <c r="AV22" s="167">
        <f>AV19-AV20</f>
        <v>-4575783.8000000007</v>
      </c>
      <c r="AW22" s="166"/>
      <c r="AX22" s="167">
        <f>AX19-AX20</f>
        <v>-3489779.5621749987</v>
      </c>
      <c r="AY22" s="166"/>
      <c r="AZ22" s="167">
        <f>AZ19-AZ20</f>
        <v>0</v>
      </c>
      <c r="BA22" s="166"/>
      <c r="BB22" s="167">
        <f>BB19-BB20</f>
        <v>46446580.578173772</v>
      </c>
      <c r="BE22" s="48" t="s">
        <v>151</v>
      </c>
      <c r="BF22" s="167">
        <f>BF19-BF20</f>
        <v>143577530.77733916</v>
      </c>
      <c r="BG22" s="196"/>
      <c r="BH22" s="167">
        <f>BH19-BH20</f>
        <v>16276638.838215383</v>
      </c>
      <c r="BI22" s="166"/>
      <c r="BJ22" s="167">
        <f>BJ19-BJ20</f>
        <v>-22112882.129999999</v>
      </c>
      <c r="BK22" s="166"/>
      <c r="BL22" s="167">
        <f>BL19-BL20</f>
        <v>-14268118.729375089</v>
      </c>
      <c r="BM22" s="166"/>
      <c r="BN22" s="167">
        <f>BN19-BN20</f>
        <v>2632.4949166676961</v>
      </c>
      <c r="BO22" s="166"/>
      <c r="BP22" s="167">
        <f>BP19-BP20</f>
        <v>123475801.25109614</v>
      </c>
      <c r="BS22" s="48" t="s">
        <v>151</v>
      </c>
      <c r="BT22" s="167">
        <f>BT19-BT20</f>
        <v>108268945.79848473</v>
      </c>
      <c r="BU22" s="196"/>
      <c r="BV22" s="167">
        <f>BV19-BV20</f>
        <v>11955741.959545769</v>
      </c>
      <c r="BW22" s="166"/>
      <c r="BX22" s="167">
        <f>BX19-BX20</f>
        <v>-16527380.119999994</v>
      </c>
      <c r="BY22" s="166"/>
      <c r="BZ22" s="167">
        <f>BZ19-BZ20</f>
        <v>-9293180.1943534464</v>
      </c>
      <c r="CA22" s="166"/>
      <c r="CB22" s="167">
        <f>CB19-CB20</f>
        <v>111079.41610277828</v>
      </c>
      <c r="CC22" s="166"/>
      <c r="CD22" s="167">
        <f>CD19-CD20</f>
        <v>94515206.859779775</v>
      </c>
      <c r="CG22" s="48" t="s">
        <v>151</v>
      </c>
      <c r="CH22" s="167">
        <f>CH19-CH20</f>
        <v>76560051.368352085</v>
      </c>
      <c r="CI22" s="196"/>
      <c r="CJ22" s="167">
        <f>CJ19-CJ20</f>
        <v>8521338.8588792719</v>
      </c>
      <c r="CK22" s="166"/>
      <c r="CL22" s="167">
        <f>CL19-CL20</f>
        <v>-8752372.209999999</v>
      </c>
      <c r="CM22" s="166"/>
      <c r="CN22" s="167">
        <f>CN19-CN20</f>
        <v>-6492552.9045651685</v>
      </c>
      <c r="CO22" s="166"/>
      <c r="CP22" s="167">
        <f>CP19-CP20</f>
        <v>73432.499937606117</v>
      </c>
      <c r="CQ22" s="166"/>
      <c r="CR22" s="167">
        <f>CR19-CR20</f>
        <v>69909897.612603843</v>
      </c>
      <c r="CU22" s="48" t="s">
        <v>151</v>
      </c>
      <c r="CV22" s="167">
        <f>CV19-CV20</f>
        <v>53130675.221675918</v>
      </c>
      <c r="CW22" s="196"/>
      <c r="CX22" s="167">
        <f>CX19-CX20</f>
        <v>4127978.0693028611</v>
      </c>
      <c r="CY22" s="166"/>
      <c r="CZ22" s="167">
        <f>CZ19-CZ20</f>
        <v>-3831775.97</v>
      </c>
      <c r="DA22" s="166"/>
      <c r="DB22" s="167">
        <f>DB19-DB20</f>
        <v>-4150628.9881689986</v>
      </c>
      <c r="DC22" s="166"/>
      <c r="DD22" s="167">
        <f>DD19-DD20</f>
        <v>37155.000000000153</v>
      </c>
      <c r="DE22" s="166"/>
      <c r="DF22" s="167">
        <f>DF19-DF20</f>
        <v>49313403.332809798</v>
      </c>
      <c r="DI22" s="48" t="s">
        <v>151</v>
      </c>
      <c r="DJ22" s="167">
        <f>DJ19-DJ20</f>
        <v>98943788.03762275</v>
      </c>
      <c r="DK22" s="196"/>
      <c r="DL22" s="167">
        <f>DL19-DL20</f>
        <v>11237528.810399333</v>
      </c>
      <c r="DM22" s="166"/>
      <c r="DN22" s="167">
        <f>DN19-DN20</f>
        <v>-14476292.509999998</v>
      </c>
      <c r="DO22" s="166"/>
      <c r="DP22" s="167">
        <f>DP19-DP20</f>
        <v>-13678897.749872001</v>
      </c>
      <c r="DQ22" s="166"/>
      <c r="DR22" s="167">
        <f>DR19-DR20</f>
        <v>614259.54466812592</v>
      </c>
      <c r="DS22" s="166"/>
      <c r="DT22" s="167">
        <f>DT19-DT20</f>
        <v>82640386.132818192</v>
      </c>
      <c r="DW22" s="48" t="s">
        <v>151</v>
      </c>
      <c r="DX22" s="53">
        <f>DX19-DX20</f>
        <v>64946050.339381166</v>
      </c>
      <c r="DY22" s="54"/>
      <c r="DZ22" s="53">
        <f>DZ19-DZ20</f>
        <v>7873527.5452996176</v>
      </c>
      <c r="EA22" s="49"/>
      <c r="EB22" s="167">
        <f>EB19-EB20</f>
        <v>-9649067.6300000008</v>
      </c>
      <c r="EC22" s="49"/>
      <c r="ED22" s="53">
        <f>ED19-ED20</f>
        <v>-7436403.0972918598</v>
      </c>
      <c r="EE22" s="49"/>
      <c r="EF22" s="53">
        <f>EF19-EF20</f>
        <v>-2511.9781976664963</v>
      </c>
      <c r="EG22" s="49"/>
      <c r="EH22" s="53">
        <f>EH19-EH20</f>
        <v>55731595.179191254</v>
      </c>
      <c r="EK22" s="48" t="s">
        <v>151</v>
      </c>
      <c r="EL22" s="53">
        <f>EL19-EL20</f>
        <v>40092150.249355212</v>
      </c>
      <c r="EM22" s="54"/>
      <c r="EN22" s="53">
        <f>EN19-EN20</f>
        <v>4734174.0811709203</v>
      </c>
      <c r="EO22" s="49"/>
      <c r="EP22" s="167">
        <f>EP19-EP20</f>
        <v>-5076501.7500000009</v>
      </c>
      <c r="EQ22" s="49"/>
      <c r="ER22" s="159">
        <f>ER19-ER20</f>
        <v>-4783450.3728055786</v>
      </c>
      <c r="ES22" s="49"/>
      <c r="ET22" s="53">
        <f>ET19-ET20</f>
        <v>-86960.052016000147</v>
      </c>
      <c r="EU22" s="49"/>
      <c r="EV22" s="53">
        <f>EV19-EV20</f>
        <v>34879412.155704528</v>
      </c>
      <c r="EY22" s="48" t="s">
        <v>151</v>
      </c>
      <c r="EZ22" s="53">
        <f>EZ19-EZ20</f>
        <v>30343292.321166694</v>
      </c>
      <c r="FA22" s="54"/>
      <c r="FB22" s="53">
        <f>FB19-FB20</f>
        <v>1461892.8799999992</v>
      </c>
      <c r="FC22" s="49"/>
      <c r="FD22" s="167">
        <f>FD19-FD20</f>
        <v>-1733794.9100000001</v>
      </c>
      <c r="FE22" s="49"/>
      <c r="FF22" s="53">
        <f>FF19-FF20</f>
        <v>-1993514.9100000008</v>
      </c>
      <c r="FG22" s="49"/>
      <c r="FH22" s="53">
        <f>FH19-FH20</f>
        <v>-35779.655085312661</v>
      </c>
      <c r="FI22" s="49"/>
      <c r="FJ22" s="53">
        <f>FJ19-FJ20</f>
        <v>28042095.726081371</v>
      </c>
      <c r="FM22" s="48" t="s">
        <v>151</v>
      </c>
      <c r="FN22" s="53">
        <f>FN19-FN20</f>
        <v>29701310.797077939</v>
      </c>
      <c r="FO22" s="54"/>
      <c r="FP22" s="53">
        <f>FP19-FP20</f>
        <v>7273762.98828049</v>
      </c>
      <c r="FQ22" s="49"/>
      <c r="FR22" s="167">
        <f>FR19-FR20</f>
        <v>-8094463.2699999977</v>
      </c>
      <c r="FS22" s="49"/>
      <c r="FT22" s="53">
        <f>FT19-FT20</f>
        <v>-504139.15071329474</v>
      </c>
      <c r="FU22" s="49"/>
      <c r="FV22" s="53">
        <f>FV19-FV20</f>
        <v>1280898.6423695248</v>
      </c>
      <c r="FW22" s="49"/>
      <c r="FX22" s="53">
        <f>FX19-FX20</f>
        <v>29657370.007014669</v>
      </c>
      <c r="GA22" s="48" t="s">
        <v>151</v>
      </c>
      <c r="GB22" s="53">
        <f>GB19-GB20</f>
        <v>16161827.357422533</v>
      </c>
      <c r="GC22" s="54"/>
      <c r="GD22" s="53">
        <f>GD19-GD20</f>
        <v>6108942.9922500011</v>
      </c>
      <c r="GE22" s="49"/>
      <c r="GF22" s="167">
        <f>GF19-GF20</f>
        <v>-4245948.1400000006</v>
      </c>
      <c r="GG22" s="49"/>
      <c r="GH22" s="53">
        <f>GH19-GH20</f>
        <v>1430582.5905841272</v>
      </c>
      <c r="GI22" s="49"/>
      <c r="GJ22" s="53">
        <f>GJ19-GJ20</f>
        <v>718500.07338525704</v>
      </c>
      <c r="GK22" s="49"/>
      <c r="GL22" s="53">
        <f>GL19-GL20</f>
        <v>20173904.873641934</v>
      </c>
      <c r="GO22" s="48" t="s">
        <v>151</v>
      </c>
      <c r="GP22" s="53">
        <f>GP19-GP20</f>
        <v>9212610.1303495076</v>
      </c>
      <c r="GQ22" s="54"/>
      <c r="GR22" s="53">
        <f>GR19-GR20</f>
        <v>4441361.4300000006</v>
      </c>
      <c r="GS22" s="49"/>
      <c r="GT22" s="167">
        <f>GT19-GT20</f>
        <v>-2725506.39</v>
      </c>
      <c r="GU22" s="49"/>
      <c r="GV22" s="159">
        <f>GV19-GV20</f>
        <v>3231248.2130751237</v>
      </c>
      <c r="GW22" s="49"/>
      <c r="GX22" s="53">
        <f>GX19-GX20</f>
        <v>441096.99696749996</v>
      </c>
      <c r="GY22" s="49"/>
      <c r="GZ22" s="53">
        <f>GZ19-GZ20</f>
        <v>14600810.380392144</v>
      </c>
      <c r="HC22" s="48" t="s">
        <v>151</v>
      </c>
      <c r="HD22" s="53">
        <f>HD19-HD20</f>
        <v>4358767.8400000073</v>
      </c>
      <c r="HE22" s="54"/>
      <c r="HF22" s="53">
        <f>HF19-HF20</f>
        <v>2118460.67</v>
      </c>
      <c r="HG22" s="49"/>
      <c r="HH22" s="167">
        <f>HH19-HH20</f>
        <v>-1358206.2600000002</v>
      </c>
      <c r="HI22" s="49"/>
      <c r="HJ22" s="53">
        <f>HJ19-HJ20</f>
        <v>-1154127.4405</v>
      </c>
      <c r="HK22" s="49"/>
      <c r="HL22" s="53">
        <f>HL19-HL20</f>
        <v>220447.49065000028</v>
      </c>
      <c r="HM22" s="49"/>
      <c r="HN22" s="53">
        <f>HN19-HN20</f>
        <v>4185342.3001500103</v>
      </c>
      <c r="HQ22" s="48" t="s">
        <v>151</v>
      </c>
      <c r="HR22" s="53">
        <f>HR19-HR20</f>
        <v>18636369.750000004</v>
      </c>
      <c r="HS22" s="54"/>
      <c r="HT22" s="53">
        <f>HT19-HT20</f>
        <v>7563529.8400000017</v>
      </c>
      <c r="HU22" s="49"/>
      <c r="HV22" s="167">
        <f>HV19-HV20</f>
        <v>-3794067.0599999977</v>
      </c>
      <c r="HW22" s="49"/>
      <c r="HX22" s="53">
        <f>HX19-HX20</f>
        <v>-4059425.8019999992</v>
      </c>
      <c r="HY22" s="49"/>
      <c r="HZ22" s="53">
        <f>HZ19-HZ20</f>
        <v>815613.24000001501</v>
      </c>
      <c r="IA22" s="49"/>
      <c r="IB22" s="53">
        <f>IB19-IB20</f>
        <v>19162019.968000036</v>
      </c>
      <c r="IE22" s="48" t="s">
        <v>151</v>
      </c>
      <c r="IF22" s="53">
        <f>IF19-IF20</f>
        <v>12208393.449999996</v>
      </c>
      <c r="IG22" s="54"/>
      <c r="IH22" s="53">
        <f>IH19-IH20</f>
        <v>5393001.2899999991</v>
      </c>
      <c r="II22" s="49"/>
      <c r="IJ22" s="167">
        <f>IJ19-IJ20</f>
        <v>-3046130.5199999991</v>
      </c>
      <c r="IK22" s="49"/>
      <c r="IL22" s="53">
        <f>IL19-IL20</f>
        <v>-2632211.7614999991</v>
      </c>
      <c r="IM22" s="49"/>
      <c r="IN22" s="53">
        <f>IN19-IN20</f>
        <v>592915.72225003014</v>
      </c>
      <c r="IO22" s="49"/>
      <c r="IP22" s="53">
        <f>IP19-IP20</f>
        <v>12515968.180750035</v>
      </c>
      <c r="IS22" s="48" t="s">
        <v>151</v>
      </c>
      <c r="IT22" s="53">
        <f>IT19-IT20</f>
        <v>11036664.920000002</v>
      </c>
      <c r="IU22" s="54"/>
      <c r="IV22" s="53">
        <f>IV19-IV20</f>
        <v>3228593.47</v>
      </c>
      <c r="IW22" s="49"/>
      <c r="IX22" s="167">
        <f>IX19-IX20</f>
        <v>-1452197.02</v>
      </c>
      <c r="IY22" s="49"/>
      <c r="IZ22" s="53">
        <f>IZ19-IZ20</f>
        <v>-2250474.6809999989</v>
      </c>
      <c r="JA22" s="49"/>
      <c r="JB22" s="53">
        <f>JB19-JB20</f>
        <v>367469.30150000006</v>
      </c>
      <c r="JC22" s="49"/>
      <c r="JD22" s="53">
        <f>JD19-JD20</f>
        <v>10930055.990499999</v>
      </c>
      <c r="JG22" s="48" t="s">
        <v>151</v>
      </c>
      <c r="JH22" s="53">
        <f>JH19-JH20</f>
        <v>6323368.0100000026</v>
      </c>
      <c r="JI22" s="54"/>
      <c r="JJ22" s="53">
        <f>JJ19-JJ20</f>
        <v>1273821.1900000002</v>
      </c>
      <c r="JK22" s="49"/>
      <c r="JL22" s="167">
        <f>JL19-JL20</f>
        <v>-643739.62999999942</v>
      </c>
      <c r="JM22" s="49"/>
      <c r="JN22" s="53">
        <f>JN19-JN20</f>
        <v>-997033.33049999992</v>
      </c>
      <c r="JO22" s="49"/>
      <c r="JP22" s="53">
        <f>JP19-JP20</f>
        <v>168781.01074999996</v>
      </c>
      <c r="JQ22" s="49"/>
      <c r="JR22" s="53">
        <f>JR19-JR20</f>
        <v>6125197.2502500005</v>
      </c>
      <c r="JU22" s="48" t="s">
        <v>151</v>
      </c>
      <c r="JV22" s="53">
        <f>JV19-JV20</f>
        <v>17804951.870000005</v>
      </c>
      <c r="JW22" s="54"/>
      <c r="JX22" s="53">
        <f>JX19-JX20</f>
        <v>8370683.8400000036</v>
      </c>
      <c r="JY22" s="49"/>
      <c r="JZ22" s="167">
        <f>JZ19-JZ20</f>
        <v>-3068673.7000000044</v>
      </c>
      <c r="KA22" s="49"/>
      <c r="KB22" s="53">
        <f>KB19-KB20</f>
        <v>-5012724.1619999986</v>
      </c>
      <c r="KC22" s="49"/>
      <c r="KD22" s="53">
        <f>KD19-KD20</f>
        <v>473631.1454500003</v>
      </c>
      <c r="KE22" s="49"/>
      <c r="KF22" s="53">
        <f>KF19-KF20</f>
        <v>18567868.993450012</v>
      </c>
      <c r="KI22" s="48" t="s">
        <v>151</v>
      </c>
      <c r="KJ22" s="53">
        <f>KJ19-KJ20</f>
        <v>12049298.42999999</v>
      </c>
      <c r="KK22" s="54"/>
      <c r="KL22" s="53">
        <f>KL19-KL20</f>
        <v>6492203.4300000034</v>
      </c>
      <c r="KM22" s="49"/>
      <c r="KN22" s="167">
        <f>KN19-KN20</f>
        <v>-2485971.7500000019</v>
      </c>
      <c r="KO22" s="49"/>
      <c r="KP22" s="53">
        <f>KP19-KP20</f>
        <v>-3412758.0315000005</v>
      </c>
      <c r="KQ22" s="49"/>
      <c r="KR22" s="53">
        <f>KR19-KR20</f>
        <v>321653.2906000003</v>
      </c>
      <c r="KS22" s="49"/>
      <c r="KT22" s="53">
        <f>KT19-KT20</f>
        <v>12964425.369099978</v>
      </c>
      <c r="KW22" s="48" t="s">
        <v>151</v>
      </c>
      <c r="KX22" s="53">
        <f>KX19-KX20</f>
        <v>8920112.0099999979</v>
      </c>
      <c r="KY22" s="54"/>
      <c r="KZ22" s="53">
        <f>KZ19-KZ20</f>
        <v>4781860.82</v>
      </c>
      <c r="LA22" s="49"/>
      <c r="LB22" s="159">
        <f>LB19-LB20</f>
        <v>-1712949.37</v>
      </c>
      <c r="LC22" s="49"/>
      <c r="LD22" s="53">
        <f>LD19-LD20</f>
        <v>-2334649.7009999994</v>
      </c>
      <c r="LE22" s="49"/>
      <c r="LF22" s="53">
        <f>LF19-LF20</f>
        <v>178928.15674999979</v>
      </c>
      <c r="LG22" s="49"/>
      <c r="LH22" s="53">
        <f>LH19-LH20</f>
        <v>9833301.9157500044</v>
      </c>
      <c r="LJ22" s="48" t="s">
        <v>151</v>
      </c>
      <c r="LK22" s="53">
        <f>LK19-LK20</f>
        <v>4333290.030000004</v>
      </c>
      <c r="LL22" s="54"/>
      <c r="LM22" s="53">
        <f>LM19-LM20</f>
        <v>2709925.6807400188</v>
      </c>
      <c r="LN22" s="49"/>
      <c r="LO22" s="159">
        <f>LO19-LO20</f>
        <v>-892250.29000000027</v>
      </c>
      <c r="LP22" s="49"/>
      <c r="LQ22" s="53">
        <f>LQ19-LQ20</f>
        <v>-1218598.4505</v>
      </c>
      <c r="LR22" s="49"/>
      <c r="LS22" s="53">
        <f>LS19-LS20</f>
        <v>-65512.020740012522</v>
      </c>
      <c r="LT22" s="49"/>
      <c r="LU22" s="53">
        <f>LU19-LU20</f>
        <v>4866854.9495000066</v>
      </c>
      <c r="LV22" s="49"/>
      <c r="LW22" s="48" t="s">
        <v>151</v>
      </c>
      <c r="LX22" s="53">
        <f>LX19-LX20</f>
        <v>19706995.279999997</v>
      </c>
      <c r="LY22" s="54"/>
      <c r="LZ22" s="53">
        <f>LZ19-LZ20</f>
        <v>7841428.620000001</v>
      </c>
      <c r="MA22" s="49"/>
      <c r="MB22" s="167">
        <f>MB19-MB20</f>
        <v>-2395488.9399999995</v>
      </c>
      <c r="MC22" s="49"/>
      <c r="MD22" s="53">
        <f>MD19-MD20</f>
        <v>-7406839.9619999994</v>
      </c>
      <c r="ME22" s="49"/>
      <c r="MF22" s="53">
        <f>MF19-MF20</f>
        <v>205340.75000000035</v>
      </c>
      <c r="MG22" s="49"/>
      <c r="MH22" s="53">
        <f>MH19-MH20</f>
        <v>17951435.748000003</v>
      </c>
      <c r="MK22" s="48" t="s">
        <v>151</v>
      </c>
      <c r="ML22" s="53">
        <f>ML19-ML20</f>
        <v>16712127.220000017</v>
      </c>
      <c r="MM22" s="54"/>
      <c r="MN22" s="53">
        <f>MN19-MN20</f>
        <v>5440125.8499999959</v>
      </c>
      <c r="MO22" s="49"/>
      <c r="MP22" s="167">
        <f>MP19-MP20</f>
        <v>-1350207.6599999988</v>
      </c>
      <c r="MQ22" s="49"/>
      <c r="MR22" s="53">
        <f>MR19-MR20</f>
        <v>-4716856.8614999978</v>
      </c>
      <c r="MS22" s="49"/>
      <c r="MT22" s="53">
        <f>MT19-MT20</f>
        <v>137887.50000000017</v>
      </c>
      <c r="MU22" s="49"/>
      <c r="MV22" s="53">
        <f>MV19-MV20</f>
        <v>16223076.048500024</v>
      </c>
      <c r="MY22" s="48" t="s">
        <v>151</v>
      </c>
      <c r="MZ22" s="53">
        <f>MZ19-MZ20</f>
        <v>14940700</v>
      </c>
      <c r="NA22" s="54"/>
      <c r="NB22" s="53">
        <f>NB19-NB20</f>
        <v>3609380.0100000012</v>
      </c>
      <c r="NC22" s="49"/>
      <c r="ND22" s="159">
        <f>ND19-ND20</f>
        <v>-642441.96999999974</v>
      </c>
      <c r="NE22" s="49"/>
      <c r="NF22" s="53">
        <f>NF19-NF20</f>
        <v>-3271004.7156070806</v>
      </c>
      <c r="NG22" s="49"/>
      <c r="NH22" s="53">
        <f>NH19-NH20</f>
        <v>63365.130000000281</v>
      </c>
      <c r="NI22" s="49"/>
      <c r="NJ22" s="53">
        <f>NJ19-NJ20</f>
        <v>14699998.45439293</v>
      </c>
      <c r="NL22" s="48" t="s">
        <v>151</v>
      </c>
      <c r="NM22" s="53">
        <f>NM19-NM20</f>
        <v>11722490.919999996</v>
      </c>
      <c r="NN22" s="54"/>
      <c r="NO22" s="53">
        <f>NO19-NO20</f>
        <v>1661766.0799999996</v>
      </c>
      <c r="NP22" s="49"/>
      <c r="NQ22" s="159">
        <f>NQ19-NQ20</f>
        <v>-411368.23</v>
      </c>
      <c r="NR22" s="49"/>
      <c r="NS22" s="53">
        <f>NS19-NS20</f>
        <v>-1195082.3951070802</v>
      </c>
      <c r="NT22" s="49"/>
      <c r="NU22" s="53">
        <f>NU19-NU20</f>
        <v>-3.8562575355172157E-10</v>
      </c>
      <c r="NV22" s="49"/>
      <c r="NW22" s="53">
        <f>NW19-NW20</f>
        <v>11777806.37489292</v>
      </c>
      <c r="NY22" s="48" t="s">
        <v>151</v>
      </c>
      <c r="NZ22" s="53">
        <f>NZ19-NZ20</f>
        <v>7101968.3399999924</v>
      </c>
      <c r="OA22" s="54"/>
      <c r="OB22" s="53">
        <f>OB19-OB20</f>
        <v>10247152.23</v>
      </c>
      <c r="OC22" s="49"/>
      <c r="OD22" s="159">
        <f>OD19-OD20</f>
        <v>-1115708.1300000008</v>
      </c>
      <c r="OE22" s="49"/>
      <c r="OF22" s="53">
        <f>OF19-OF20</f>
        <v>3161131.6897666655</v>
      </c>
      <c r="OG22" s="49"/>
      <c r="OH22" s="53">
        <f>OH19-OH20</f>
        <v>-410807.5178299885</v>
      </c>
      <c r="OI22" s="49"/>
      <c r="OJ22" s="53">
        <f>OJ19-OJ20</f>
        <v>18983736.611936677</v>
      </c>
      <c r="OK22" s="65"/>
      <c r="OL22" s="48" t="s">
        <v>151</v>
      </c>
      <c r="OM22" s="53">
        <f>OM19-OM20</f>
        <v>4826859.2799999854</v>
      </c>
      <c r="ON22" s="54"/>
      <c r="OO22" s="53">
        <f>OO19-OO20</f>
        <v>7171700.8100000117</v>
      </c>
      <c r="OP22" s="49"/>
      <c r="OQ22" s="132">
        <f>OQ19-OQ20</f>
        <v>0</v>
      </c>
      <c r="OR22" s="53">
        <f>OR19-OR20</f>
        <v>0</v>
      </c>
      <c r="OS22" s="53">
        <f>OS19-OS20</f>
        <v>7340004.6302666683</v>
      </c>
      <c r="OT22" s="49"/>
      <c r="OU22" s="53">
        <f>OU19-OU20</f>
        <v>-525585.20000000007</v>
      </c>
      <c r="OV22" s="49"/>
      <c r="OW22" s="53">
        <f>OW19-OW20</f>
        <v>18812979.520266686</v>
      </c>
      <c r="OX22" s="65"/>
      <c r="OY22" s="48" t="s">
        <v>151</v>
      </c>
      <c r="OZ22" s="53">
        <f>OZ19-OZ20</f>
        <v>5128377.2599999951</v>
      </c>
      <c r="PA22" s="54"/>
      <c r="PB22" s="53">
        <f>PB19-PB20</f>
        <v>6059004.46</v>
      </c>
      <c r="PC22" s="49"/>
      <c r="PD22" s="132">
        <f>PD19-PD20</f>
        <v>0</v>
      </c>
      <c r="PE22" s="53"/>
      <c r="PF22" s="53">
        <f>PF19-PF20</f>
        <v>5401032.9696666673</v>
      </c>
      <c r="PG22" s="49"/>
      <c r="PH22" s="53">
        <f>PH19-PH20</f>
        <v>-495027.53000000084</v>
      </c>
      <c r="PI22" s="49"/>
      <c r="PJ22" s="53">
        <f>PJ19-PJ20</f>
        <v>16093387.159666661</v>
      </c>
      <c r="PK22" s="65"/>
      <c r="PL22" s="48" t="s">
        <v>151</v>
      </c>
      <c r="PM22" s="53">
        <f>PM19-PM20</f>
        <v>4862289.1599999992</v>
      </c>
      <c r="PN22" s="54"/>
      <c r="PO22" s="53">
        <f>PO19-PO20</f>
        <v>4727486.9400000041</v>
      </c>
      <c r="PP22" s="49"/>
      <c r="PQ22" s="132">
        <f>PQ19-PQ20</f>
        <v>0</v>
      </c>
      <c r="PR22" s="53">
        <f>PR19-PR20</f>
        <v>0</v>
      </c>
      <c r="PS22" s="53">
        <f>PS19-PS20</f>
        <v>-1440635.8999999997</v>
      </c>
      <c r="PT22" s="49"/>
      <c r="PU22" s="53">
        <f>PU19-PU20</f>
        <v>-228176.72999999928</v>
      </c>
      <c r="PV22" s="49"/>
      <c r="PW22" s="53">
        <f>PW19-PW20</f>
        <v>7920963.4700000007</v>
      </c>
      <c r="PX22" s="65"/>
      <c r="PY22" s="48" t="s">
        <v>151</v>
      </c>
      <c r="PZ22" s="53">
        <f>PZ19-PZ20</f>
        <v>463396.74999999825</v>
      </c>
      <c r="QA22" s="54"/>
      <c r="QB22" s="53">
        <f>QB19-QB20</f>
        <v>3655916.1200000024</v>
      </c>
      <c r="QC22" s="49"/>
      <c r="QD22" s="53">
        <f>QD19-QD20</f>
        <v>28177.300000000309</v>
      </c>
      <c r="QE22" s="53">
        <f>QE19-QE20</f>
        <v>0</v>
      </c>
      <c r="QF22" s="53">
        <f>QF19-QF20</f>
        <v>-733098.04999999935</v>
      </c>
      <c r="QG22" s="49"/>
      <c r="QH22" s="53">
        <f>QH19-QH20</f>
        <v>-189476.66000000044</v>
      </c>
      <c r="QI22" s="49"/>
      <c r="QJ22" s="53">
        <f>QJ19-QJ20</f>
        <v>3224915.459999999</v>
      </c>
      <c r="QK22" s="65"/>
      <c r="QL22" s="48" t="s">
        <v>151</v>
      </c>
      <c r="QM22" s="53">
        <f>QM19-QM20</f>
        <v>403058.38000000076</v>
      </c>
      <c r="QN22" s="54"/>
      <c r="QO22" s="53">
        <f>QO19-QO20</f>
        <v>2261700.6499999994</v>
      </c>
      <c r="QP22" s="49"/>
      <c r="QQ22" s="53">
        <f>QQ19-QQ20</f>
        <v>16136.80000000009</v>
      </c>
      <c r="QR22" s="53">
        <f>QR19-QR20</f>
        <v>0</v>
      </c>
      <c r="QS22" s="53">
        <f>QS19-QS20</f>
        <v>-549012.20999999961</v>
      </c>
      <c r="QT22" s="49"/>
      <c r="QU22" s="53">
        <f>QU19-QU20</f>
        <v>-196636.66000000006</v>
      </c>
      <c r="QV22" s="49"/>
      <c r="QW22" s="53">
        <f>QW19-QW20</f>
        <v>1935246.9599999993</v>
      </c>
      <c r="QX22" s="65"/>
      <c r="QY22" s="48" t="s">
        <v>151</v>
      </c>
      <c r="QZ22" s="53">
        <f>QZ19-QZ20</f>
        <v>97465.949999999619</v>
      </c>
      <c r="RA22" s="54"/>
      <c r="RB22" s="53">
        <f>RB19-RB20</f>
        <v>918031.71999999951</v>
      </c>
      <c r="RC22" s="49"/>
      <c r="RD22" s="53">
        <f>RD19-RD20</f>
        <v>-35835.689999999922</v>
      </c>
      <c r="RE22" s="53">
        <f>RE19-RE20</f>
        <v>0</v>
      </c>
      <c r="RF22" s="53">
        <f>RF19-RF20</f>
        <v>-74750.349999999744</v>
      </c>
      <c r="RG22" s="49"/>
      <c r="RH22" s="53">
        <f>RH19-RH20</f>
        <v>-68171.810000000827</v>
      </c>
      <c r="RI22" s="49"/>
      <c r="RJ22" s="126">
        <f>RJ19-RJ20</f>
        <v>836739.81999999855</v>
      </c>
      <c r="RK22" s="65"/>
      <c r="RL22" s="48" t="s">
        <v>151</v>
      </c>
      <c r="RM22" s="53">
        <f>RM19-RM20</f>
        <v>1470173.5200000019</v>
      </c>
      <c r="RN22" s="54"/>
      <c r="RO22" s="53">
        <f>RO19-RO20</f>
        <v>4552452.540000001</v>
      </c>
      <c r="RP22" s="49"/>
      <c r="RQ22" s="53">
        <f>RQ19-RQ20</f>
        <v>-171422.43999999989</v>
      </c>
      <c r="RR22" s="53">
        <f>RR19-RR20</f>
        <v>0</v>
      </c>
      <c r="RS22" s="53">
        <f>RS19-RS20</f>
        <v>559572.90000000154</v>
      </c>
      <c r="RT22" s="49"/>
      <c r="RU22" s="53">
        <f>RU19-RU20</f>
        <v>-2192300.1800000025</v>
      </c>
      <c r="RV22" s="49"/>
      <c r="RW22" s="53">
        <f>RW19-RW20</f>
        <v>4218476.3400000017</v>
      </c>
      <c r="RX22" s="65"/>
      <c r="RY22" s="48" t="s">
        <v>151</v>
      </c>
      <c r="RZ22" s="53">
        <f>RZ19-RZ20</f>
        <v>1127951.5499999956</v>
      </c>
      <c r="SA22" s="54"/>
      <c r="SB22" s="53">
        <f>SB19-SB20</f>
        <v>3104303.3900000006</v>
      </c>
      <c r="SC22" s="49"/>
      <c r="SD22" s="53">
        <f>SD19-SD20</f>
        <v>-152450.57000000018</v>
      </c>
      <c r="SE22" s="53">
        <f>SE19-SE20</f>
        <v>0</v>
      </c>
      <c r="SF22" s="53">
        <f>SF19-SF20</f>
        <v>-388693.74</v>
      </c>
      <c r="SG22" s="49"/>
      <c r="SH22" s="53">
        <f>SH19-SH20</f>
        <v>-1097267.3400000001</v>
      </c>
      <c r="SI22" s="49"/>
      <c r="SJ22" s="53">
        <f>SJ19-SJ20</f>
        <v>2593843.2899999917</v>
      </c>
      <c r="SK22" s="65"/>
      <c r="SL22" s="48" t="s">
        <v>151</v>
      </c>
      <c r="SM22" s="53">
        <f>SM19-SM20</f>
        <v>510197.02999999881</v>
      </c>
      <c r="SN22" s="54"/>
      <c r="SO22" s="53">
        <f>SO19-SO20</f>
        <v>1837056.4399999981</v>
      </c>
      <c r="SP22" s="49"/>
      <c r="SQ22" s="53">
        <f>SQ19-SQ20</f>
        <v>112138.14999999991</v>
      </c>
      <c r="SR22" s="53">
        <f>SR19-SR20</f>
        <v>0</v>
      </c>
      <c r="SS22" s="53">
        <f>SS19-SS20</f>
        <v>-92533.940000000759</v>
      </c>
      <c r="ST22" s="49"/>
      <c r="SU22" s="53">
        <f>SU19-SU20</f>
        <v>-930588.19999999972</v>
      </c>
      <c r="SV22" s="49"/>
      <c r="SW22" s="53">
        <f>SW19-SW20</f>
        <v>1436269.4799999972</v>
      </c>
      <c r="SX22" s="65"/>
      <c r="SY22" s="48" t="s">
        <v>151</v>
      </c>
      <c r="SZ22" s="53">
        <f>SZ19-SZ20</f>
        <v>47381.429999998989</v>
      </c>
      <c r="TA22" s="54"/>
      <c r="TB22" s="53">
        <f>TB19-TB20</f>
        <v>812684.10999999964</v>
      </c>
      <c r="TC22" s="49"/>
      <c r="TD22" s="53">
        <f>TD19-TD20</f>
        <v>123276.15999999992</v>
      </c>
      <c r="TE22" s="53">
        <f>TE19-TE20</f>
        <v>0</v>
      </c>
      <c r="TF22" s="53">
        <f>TF19-TF20</f>
        <v>-381159.25999999983</v>
      </c>
      <c r="TG22" s="49"/>
      <c r="TH22" s="53">
        <f>TH19-TH20</f>
        <v>-20363.03000000001</v>
      </c>
      <c r="TI22" s="49"/>
      <c r="TJ22" s="53">
        <f>TJ19-TJ20</f>
        <v>581819.40999999805</v>
      </c>
      <c r="TK22" s="65"/>
      <c r="TL22" s="48" t="s">
        <v>151</v>
      </c>
      <c r="TM22" s="53">
        <f>TM19-TM20</f>
        <v>4217456.6200000104</v>
      </c>
      <c r="TN22" s="54"/>
      <c r="TO22" s="53">
        <f>TO19-TO20</f>
        <v>738082.84999999928</v>
      </c>
      <c r="TP22" s="49"/>
      <c r="TQ22" s="53">
        <f>TQ19-TQ20</f>
        <v>212705.76000000007</v>
      </c>
      <c r="TR22" s="53">
        <f>TR19-TR20</f>
        <v>0</v>
      </c>
      <c r="TS22" s="53">
        <f>TS19-TS20</f>
        <v>-1187708.909999989</v>
      </c>
      <c r="TT22" s="49"/>
      <c r="TU22" s="53">
        <f>TU19-TU20</f>
        <v>-204101.38999999585</v>
      </c>
      <c r="TV22" s="49"/>
      <c r="TW22" s="53">
        <f>TW19-TW20</f>
        <v>3776434.9300000137</v>
      </c>
      <c r="TX22" s="65"/>
      <c r="TY22" s="48" t="s">
        <v>151</v>
      </c>
      <c r="TZ22" s="53">
        <f>TZ19-TZ20</f>
        <v>2263013.3499999968</v>
      </c>
      <c r="UA22" s="54"/>
      <c r="UB22" s="53">
        <f>UB19-UB20</f>
        <v>738805.17000000156</v>
      </c>
      <c r="UC22" s="49"/>
      <c r="UD22" s="53">
        <f>UD19-UD20</f>
        <v>304374.76999999955</v>
      </c>
      <c r="UE22" s="53">
        <f>UE19-UE20</f>
        <v>0</v>
      </c>
      <c r="UF22" s="53">
        <f>UF19-UF20</f>
        <v>-1150432.3999999962</v>
      </c>
      <c r="UG22" s="49"/>
      <c r="UH22" s="53">
        <f>UH19-UH20</f>
        <v>-128811.67999999576</v>
      </c>
      <c r="UI22" s="49"/>
      <c r="UJ22" s="53">
        <f>UJ19-UJ20</f>
        <v>2026949.2100000111</v>
      </c>
      <c r="UK22" s="65"/>
      <c r="UL22" s="65" t="s">
        <v>151</v>
      </c>
      <c r="UM22" s="53">
        <v>-766006.87000000128</v>
      </c>
      <c r="UN22" s="54"/>
      <c r="UO22" s="53">
        <v>312582.64999999898</v>
      </c>
      <c r="UP22" s="49"/>
      <c r="UQ22" s="53">
        <v>70593.709999999977</v>
      </c>
      <c r="UR22" s="49"/>
      <c r="US22" s="53">
        <v>-788700.14999999991</v>
      </c>
      <c r="UT22" s="49"/>
      <c r="UU22" s="53">
        <v>-94797.279999999329</v>
      </c>
      <c r="UW22" s="53">
        <v>-1266327.9400000009</v>
      </c>
      <c r="UX22" s="65"/>
      <c r="UY22" s="65" t="s">
        <v>151</v>
      </c>
      <c r="UZ22" s="53">
        <f>608.538970000001*1000</f>
        <v>608538.97000000102</v>
      </c>
      <c r="VA22" s="54"/>
      <c r="VB22" s="53">
        <f>43.8928000000005*1000</f>
        <v>43892.800000000498</v>
      </c>
      <c r="VC22" s="49"/>
      <c r="VD22" s="53">
        <f>-32.56647*1000</f>
        <v>-32566.47</v>
      </c>
      <c r="VE22" s="49"/>
      <c r="VF22" s="53">
        <f>-314.85562*1000</f>
        <v>-314855.62</v>
      </c>
      <c r="VG22" s="49"/>
      <c r="VH22" s="53">
        <f>-30.2680899999999*1000</f>
        <v>-30268.089999999902</v>
      </c>
      <c r="VJ22" s="53">
        <f>274.741590000003*1000</f>
        <v>274741.59000000299</v>
      </c>
      <c r="VK22" s="65"/>
      <c r="VL22" s="48" t="s">
        <v>151</v>
      </c>
      <c r="VM22" s="53">
        <f>VM19-VM20</f>
        <v>6364435.3600000041</v>
      </c>
      <c r="VN22" s="54"/>
      <c r="VO22" s="53">
        <f>VO19-VO20</f>
        <v>3944895.4999999986</v>
      </c>
      <c r="VP22" s="49"/>
      <c r="VQ22" s="53">
        <f>VQ19-VQ20</f>
        <v>1096309.1299999994</v>
      </c>
      <c r="VR22" s="53"/>
      <c r="VS22" s="53">
        <f>VS19-VS20</f>
        <v>-1786355.2800000003</v>
      </c>
      <c r="VT22" s="49"/>
      <c r="VU22" s="53">
        <f>VU19-VU20</f>
        <v>-968497.69999999739</v>
      </c>
      <c r="VV22" s="49"/>
      <c r="VW22" s="53">
        <f>VW19-VW20</f>
        <v>8650787.0100000072</v>
      </c>
      <c r="VX22" s="65"/>
      <c r="VY22" s="48" t="s">
        <v>151</v>
      </c>
      <c r="VZ22" s="53">
        <f>VZ19-VZ20</f>
        <v>1158810.6099999994</v>
      </c>
      <c r="WA22" s="54"/>
      <c r="WB22" s="53">
        <f>WB19-WB20</f>
        <v>3897652.2879400654</v>
      </c>
      <c r="WC22" s="49"/>
      <c r="WD22" s="53">
        <f>WD19-WD20</f>
        <v>523115</v>
      </c>
      <c r="WE22" s="53">
        <f>WE19-WE20</f>
        <v>158.928</v>
      </c>
      <c r="WF22" s="53">
        <f>WF19-WF20</f>
        <v>-100087.93940069014</v>
      </c>
      <c r="WG22" s="49"/>
      <c r="WH22" s="53">
        <f>WH19-WH20</f>
        <v>4957.5</v>
      </c>
      <c r="WI22" s="49"/>
      <c r="WJ22" s="53">
        <f>WJ19-WJ20</f>
        <v>5484606.3865393763</v>
      </c>
      <c r="WK22" s="65"/>
      <c r="WL22" s="65" t="s">
        <v>151</v>
      </c>
      <c r="WM22" s="53">
        <v>692167.09293379809</v>
      </c>
      <c r="WN22" s="54"/>
      <c r="WO22" s="53">
        <v>2346458.8400000012</v>
      </c>
      <c r="WP22" s="49"/>
      <c r="WQ22" s="53">
        <v>394975.74000000046</v>
      </c>
      <c r="WR22" s="49"/>
      <c r="WS22" s="53">
        <v>-302003.25293379184</v>
      </c>
      <c r="WT22" s="49"/>
      <c r="WU22" s="53">
        <v>3305.0000000000796</v>
      </c>
      <c r="WW22" s="53">
        <v>3134903.4200000037</v>
      </c>
      <c r="WX22" s="49"/>
      <c r="WY22" s="65" t="s">
        <v>151</v>
      </c>
      <c r="WZ22" s="53">
        <f>-519.01676*1000</f>
        <v>-519016.75999999995</v>
      </c>
      <c r="XA22" s="54"/>
      <c r="XB22" s="53">
        <f>1176.09514*1000</f>
        <v>1176095.1399999999</v>
      </c>
      <c r="XC22" s="49"/>
      <c r="XD22" s="53">
        <f>246.58671*1000</f>
        <v>246586.71000000002</v>
      </c>
      <c r="XE22" s="49">
        <v>0</v>
      </c>
      <c r="XF22" s="53">
        <f>-223.40383*1000</f>
        <v>-223403.83</v>
      </c>
      <c r="XG22" s="49"/>
      <c r="XH22" s="53">
        <f>359.59452*1000</f>
        <v>359594.51999999996</v>
      </c>
      <c r="XJ22" s="53">
        <f>1039.85578*1000</f>
        <v>1039855.7800000001</v>
      </c>
      <c r="XK22" s="49"/>
      <c r="XL22" s="65" t="s">
        <v>151</v>
      </c>
      <c r="XM22" s="53">
        <f>XM19-XM20</f>
        <v>7816372.8477091864</v>
      </c>
      <c r="XN22" s="54"/>
      <c r="XO22" s="53">
        <f>XO19-XO20</f>
        <v>6823556.1100000013</v>
      </c>
      <c r="XP22" s="49"/>
      <c r="XQ22" s="53">
        <f>XQ19-XQ20</f>
        <v>735435.58000000019</v>
      </c>
      <c r="XR22" s="49"/>
      <c r="XS22" s="53">
        <f>XS19-XS20</f>
        <v>-454012.60353522515</v>
      </c>
      <c r="XT22" s="49"/>
      <c r="XU22" s="53">
        <f>XU19-XU20</f>
        <v>-8964766.3787954226</v>
      </c>
      <c r="XW22" s="53">
        <f>XW19-XW20</f>
        <v>13391792.968387734</v>
      </c>
      <c r="XX22" s="49"/>
      <c r="XY22" s="48" t="s">
        <v>151</v>
      </c>
      <c r="XZ22" s="53">
        <f>XZ19-XZ20</f>
        <v>1542434.2100000009</v>
      </c>
      <c r="YA22" s="54"/>
      <c r="YB22" s="53">
        <f>YB19-YB20</f>
        <v>4650742.7700000023</v>
      </c>
      <c r="YC22" s="49"/>
      <c r="YD22" s="53">
        <f>YD19-YD20</f>
        <v>722314</v>
      </c>
      <c r="YE22" s="49"/>
      <c r="YF22" s="53">
        <f>YF19-YF20</f>
        <v>87055.253658319358</v>
      </c>
      <c r="YG22" s="49"/>
      <c r="YH22" s="53">
        <f>YH19-YH20</f>
        <v>-7971731.9199999999</v>
      </c>
      <c r="YJ22" s="53">
        <f>YJ19-YJ20</f>
        <v>7193974.2336583249</v>
      </c>
    </row>
    <row r="23" spans="1:660">
      <c r="A23" s="48"/>
      <c r="B23" s="166"/>
      <c r="C23" s="196"/>
      <c r="D23" s="166"/>
      <c r="E23" s="166"/>
      <c r="F23" s="166"/>
      <c r="G23" s="166"/>
      <c r="H23" s="166"/>
      <c r="I23" s="166"/>
      <c r="J23" s="166"/>
      <c r="K23" s="166"/>
      <c r="L23" s="166"/>
      <c r="O23" s="48"/>
      <c r="P23" s="166"/>
      <c r="Q23" s="196"/>
      <c r="R23" s="166"/>
      <c r="S23" s="166"/>
      <c r="T23" s="166"/>
      <c r="U23" s="166"/>
      <c r="V23" s="166"/>
      <c r="W23" s="166"/>
      <c r="X23" s="166"/>
      <c r="Y23" s="166"/>
      <c r="Z23" s="166"/>
      <c r="AC23" s="48"/>
      <c r="AD23" s="166"/>
      <c r="AE23" s="196"/>
      <c r="AF23" s="166"/>
      <c r="AG23" s="166"/>
      <c r="AH23" s="166"/>
      <c r="AI23" s="166"/>
      <c r="AJ23" s="166"/>
      <c r="AK23" s="166"/>
      <c r="AL23" s="166"/>
      <c r="AM23" s="166"/>
      <c r="AN23" s="166"/>
      <c r="AQ23" s="48"/>
      <c r="AR23" s="166"/>
      <c r="AS23" s="196"/>
      <c r="AT23" s="166"/>
      <c r="AU23" s="166"/>
      <c r="AV23" s="166"/>
      <c r="AW23" s="166"/>
      <c r="AX23" s="166"/>
      <c r="AY23" s="166"/>
      <c r="AZ23" s="166"/>
      <c r="BA23" s="166"/>
      <c r="BB23" s="166"/>
      <c r="BE23" s="48"/>
      <c r="BF23" s="166"/>
      <c r="BG23" s="196"/>
      <c r="BH23" s="166"/>
      <c r="BI23" s="166"/>
      <c r="BJ23" s="166"/>
      <c r="BK23" s="166"/>
      <c r="BL23" s="166"/>
      <c r="BM23" s="166"/>
      <c r="BN23" s="166"/>
      <c r="BO23" s="166"/>
      <c r="BP23" s="166"/>
      <c r="BS23" s="48"/>
      <c r="BT23" s="166"/>
      <c r="BU23" s="196"/>
      <c r="BV23" s="166"/>
      <c r="BW23" s="166"/>
      <c r="BX23" s="166"/>
      <c r="BY23" s="166"/>
      <c r="BZ23" s="166"/>
      <c r="CA23" s="166"/>
      <c r="CB23" s="166"/>
      <c r="CC23" s="166"/>
      <c r="CD23" s="166"/>
      <c r="CG23" s="48"/>
      <c r="CH23" s="166"/>
      <c r="CI23" s="196"/>
      <c r="CJ23" s="166"/>
      <c r="CK23" s="166"/>
      <c r="CL23" s="166"/>
      <c r="CM23" s="166"/>
      <c r="CN23" s="166"/>
      <c r="CO23" s="166"/>
      <c r="CP23" s="166"/>
      <c r="CQ23" s="166"/>
      <c r="CR23" s="166"/>
      <c r="CU23" s="48"/>
      <c r="CV23" s="166"/>
      <c r="CW23" s="196"/>
      <c r="CX23" s="166"/>
      <c r="CY23" s="166"/>
      <c r="CZ23" s="166"/>
      <c r="DA23" s="166"/>
      <c r="DB23" s="166"/>
      <c r="DC23" s="166"/>
      <c r="DD23" s="166"/>
      <c r="DE23" s="166"/>
      <c r="DF23" s="166"/>
      <c r="DI23" s="48"/>
      <c r="DJ23" s="166"/>
      <c r="DK23" s="196"/>
      <c r="DL23" s="166"/>
      <c r="DM23" s="166"/>
      <c r="DN23" s="166"/>
      <c r="DO23" s="166"/>
      <c r="DP23" s="166"/>
      <c r="DQ23" s="166"/>
      <c r="DR23" s="166"/>
      <c r="DS23" s="166"/>
      <c r="DT23" s="166"/>
      <c r="DW23" s="48"/>
      <c r="DX23" s="49"/>
      <c r="DY23" s="54"/>
      <c r="DZ23" s="49"/>
      <c r="EA23" s="49"/>
      <c r="EB23" s="166"/>
      <c r="EC23" s="49"/>
      <c r="ED23" s="49"/>
      <c r="EE23" s="49"/>
      <c r="EF23" s="49"/>
      <c r="EG23" s="49"/>
      <c r="EH23" s="49"/>
      <c r="EK23" s="48"/>
      <c r="EL23" s="49"/>
      <c r="EM23" s="54"/>
      <c r="EN23" s="49"/>
      <c r="EO23" s="49"/>
      <c r="EP23" s="166"/>
      <c r="EQ23" s="49"/>
      <c r="ER23" s="157"/>
      <c r="ES23" s="49"/>
      <c r="ET23" s="49"/>
      <c r="EU23" s="49"/>
      <c r="EV23" s="49"/>
      <c r="EY23" s="48"/>
      <c r="EZ23" s="49"/>
      <c r="FA23" s="54"/>
      <c r="FB23" s="49"/>
      <c r="FC23" s="49"/>
      <c r="FD23" s="166"/>
      <c r="FE23" s="49"/>
      <c r="FF23" s="49"/>
      <c r="FG23" s="49"/>
      <c r="FH23" s="49"/>
      <c r="FI23" s="49"/>
      <c r="FJ23" s="49"/>
      <c r="FM23" s="48"/>
      <c r="FN23" s="49"/>
      <c r="FO23" s="54"/>
      <c r="FP23" s="49"/>
      <c r="FQ23" s="49"/>
      <c r="FR23" s="166"/>
      <c r="FS23" s="49"/>
      <c r="FT23" s="49"/>
      <c r="FU23" s="49"/>
      <c r="FV23" s="49"/>
      <c r="FW23" s="49"/>
      <c r="FX23" s="49"/>
      <c r="GA23" s="48"/>
      <c r="GB23" s="49"/>
      <c r="GC23" s="54"/>
      <c r="GD23" s="49"/>
      <c r="GE23" s="49"/>
      <c r="GF23" s="166"/>
      <c r="GG23" s="49"/>
      <c r="GH23" s="49"/>
      <c r="GI23" s="49"/>
      <c r="GJ23" s="49"/>
      <c r="GK23" s="49"/>
      <c r="GL23" s="49"/>
      <c r="GO23" s="48"/>
      <c r="GP23" s="49"/>
      <c r="GQ23" s="54"/>
      <c r="GR23" s="49"/>
      <c r="GS23" s="49"/>
      <c r="GT23" s="166"/>
      <c r="GU23" s="49"/>
      <c r="GV23" s="157"/>
      <c r="GW23" s="49"/>
      <c r="GX23" s="49"/>
      <c r="GY23" s="49"/>
      <c r="GZ23" s="49"/>
      <c r="HC23" s="48"/>
      <c r="HD23" s="49"/>
      <c r="HE23" s="54"/>
      <c r="HF23" s="49"/>
      <c r="HG23" s="49"/>
      <c r="HH23" s="166"/>
      <c r="HI23" s="49"/>
      <c r="HJ23" s="49"/>
      <c r="HK23" s="49"/>
      <c r="HL23" s="49"/>
      <c r="HM23" s="49"/>
      <c r="HN23" s="49"/>
      <c r="HQ23" s="48"/>
      <c r="HR23" s="49"/>
      <c r="HS23" s="54"/>
      <c r="HT23" s="49"/>
      <c r="HU23" s="49"/>
      <c r="HV23" s="166"/>
      <c r="HW23" s="49"/>
      <c r="HX23" s="49"/>
      <c r="HY23" s="49"/>
      <c r="HZ23" s="49"/>
      <c r="IA23" s="49"/>
      <c r="IB23" s="49"/>
      <c r="IE23" s="48"/>
      <c r="IF23" s="49"/>
      <c r="IG23" s="54"/>
      <c r="IH23" s="49"/>
      <c r="II23" s="49"/>
      <c r="IJ23" s="166"/>
      <c r="IK23" s="49"/>
      <c r="IL23" s="49"/>
      <c r="IM23" s="49"/>
      <c r="IN23" s="49"/>
      <c r="IO23" s="49"/>
      <c r="IP23" s="49"/>
      <c r="IS23" s="48"/>
      <c r="IT23" s="49"/>
      <c r="IU23" s="54"/>
      <c r="IV23" s="49"/>
      <c r="IW23" s="49"/>
      <c r="IX23" s="166"/>
      <c r="IY23" s="49"/>
      <c r="IZ23" s="49"/>
      <c r="JA23" s="49"/>
      <c r="JB23" s="49"/>
      <c r="JC23" s="49"/>
      <c r="JD23" s="49"/>
      <c r="JG23" s="48"/>
      <c r="JH23" s="49"/>
      <c r="JI23" s="54"/>
      <c r="JJ23" s="49"/>
      <c r="JK23" s="49"/>
      <c r="JL23" s="166"/>
      <c r="JM23" s="49"/>
      <c r="JN23" s="49"/>
      <c r="JO23" s="49"/>
      <c r="JP23" s="49"/>
      <c r="JQ23" s="49"/>
      <c r="JR23" s="49"/>
      <c r="JU23" s="48"/>
      <c r="JV23" s="49"/>
      <c r="JW23" s="54"/>
      <c r="JX23" s="49"/>
      <c r="JY23" s="49"/>
      <c r="JZ23" s="166"/>
      <c r="KA23" s="49"/>
      <c r="KB23" s="49"/>
      <c r="KC23" s="49"/>
      <c r="KD23" s="49"/>
      <c r="KE23" s="49"/>
      <c r="KF23" s="49"/>
      <c r="KI23" s="48"/>
      <c r="KJ23" s="49"/>
      <c r="KK23" s="54"/>
      <c r="KL23" s="49"/>
      <c r="KM23" s="49"/>
      <c r="KN23" s="166"/>
      <c r="KO23" s="49"/>
      <c r="KP23" s="49"/>
      <c r="KQ23" s="49"/>
      <c r="KR23" s="49"/>
      <c r="KS23" s="49"/>
      <c r="KT23" s="49"/>
      <c r="KW23" s="48"/>
      <c r="KX23" s="49"/>
      <c r="KY23" s="54"/>
      <c r="KZ23" s="49"/>
      <c r="LA23" s="49"/>
      <c r="LB23" s="157"/>
      <c r="LC23" s="49"/>
      <c r="LD23" s="49"/>
      <c r="LE23" s="49"/>
      <c r="LF23" s="49"/>
      <c r="LG23" s="49"/>
      <c r="LH23" s="49"/>
      <c r="LJ23" s="48"/>
      <c r="LK23" s="49"/>
      <c r="LL23" s="54"/>
      <c r="LM23" s="49"/>
      <c r="LN23" s="49"/>
      <c r="LO23" s="157"/>
      <c r="LP23" s="49"/>
      <c r="LQ23" s="49"/>
      <c r="LR23" s="49"/>
      <c r="LS23" s="49"/>
      <c r="LT23" s="49"/>
      <c r="LU23" s="49"/>
      <c r="LV23" s="49"/>
      <c r="LW23" s="48"/>
      <c r="LX23" s="49"/>
      <c r="LY23" s="54"/>
      <c r="LZ23" s="49"/>
      <c r="MA23" s="49"/>
      <c r="MB23" s="166"/>
      <c r="MC23" s="49"/>
      <c r="MD23" s="49"/>
      <c r="ME23" s="49"/>
      <c r="MF23" s="49"/>
      <c r="MG23" s="49"/>
      <c r="MH23" s="49"/>
      <c r="MK23" s="48"/>
      <c r="ML23" s="49"/>
      <c r="MM23" s="54"/>
      <c r="MN23" s="49"/>
      <c r="MO23" s="49"/>
      <c r="MP23" s="166"/>
      <c r="MQ23" s="49"/>
      <c r="MR23" s="49"/>
      <c r="MS23" s="49"/>
      <c r="MT23" s="49"/>
      <c r="MU23" s="49"/>
      <c r="MV23" s="49"/>
      <c r="MY23" s="48"/>
      <c r="MZ23" s="49"/>
      <c r="NA23" s="54"/>
      <c r="NB23" s="49"/>
      <c r="NC23" s="49"/>
      <c r="ND23" s="157"/>
      <c r="NE23" s="49"/>
      <c r="NF23" s="49"/>
      <c r="NG23" s="49"/>
      <c r="NH23" s="49"/>
      <c r="NI23" s="49"/>
      <c r="NJ23" s="49"/>
      <c r="NL23" s="48"/>
      <c r="NM23" s="49"/>
      <c r="NN23" s="54"/>
      <c r="NO23" s="49"/>
      <c r="NP23" s="49"/>
      <c r="NQ23" s="157"/>
      <c r="NR23" s="49"/>
      <c r="NS23" s="49"/>
      <c r="NT23" s="49"/>
      <c r="NU23" s="49"/>
      <c r="NV23" s="49"/>
      <c r="NW23" s="49"/>
      <c r="NY23" s="48"/>
      <c r="NZ23" s="49"/>
      <c r="OA23" s="54"/>
      <c r="OB23" s="49"/>
      <c r="OC23" s="49"/>
      <c r="OD23" s="157"/>
      <c r="OE23" s="49"/>
      <c r="OF23" s="49"/>
      <c r="OG23" s="49"/>
      <c r="OH23" s="49"/>
      <c r="OI23" s="49"/>
      <c r="OJ23" s="49"/>
      <c r="OK23" s="65"/>
      <c r="OL23" s="48"/>
      <c r="OM23" s="49"/>
      <c r="ON23" s="54"/>
      <c r="OO23" s="49"/>
      <c r="OP23" s="49"/>
      <c r="OQ23" s="131"/>
      <c r="OR23" s="49"/>
      <c r="OS23" s="49"/>
      <c r="OT23" s="49"/>
      <c r="OU23" s="49"/>
      <c r="OV23" s="49"/>
      <c r="OW23" s="49"/>
      <c r="OX23" s="65"/>
      <c r="OY23" s="48"/>
      <c r="OZ23" s="49"/>
      <c r="PA23" s="54"/>
      <c r="PB23" s="49"/>
      <c r="PC23" s="49"/>
      <c r="PD23" s="131"/>
      <c r="PE23" s="49"/>
      <c r="PF23" s="49"/>
      <c r="PG23" s="49"/>
      <c r="PH23" s="49"/>
      <c r="PI23" s="49"/>
      <c r="PJ23" s="49"/>
      <c r="PK23" s="65"/>
      <c r="PL23" s="48"/>
      <c r="PM23" s="49"/>
      <c r="PN23" s="54"/>
      <c r="PO23" s="49"/>
      <c r="PP23" s="49"/>
      <c r="PQ23" s="131"/>
      <c r="PR23" s="49"/>
      <c r="PS23" s="49"/>
      <c r="PT23" s="49"/>
      <c r="PU23" s="49"/>
      <c r="PV23" s="49"/>
      <c r="PW23" s="49"/>
      <c r="PX23" s="65"/>
      <c r="PY23" s="48"/>
      <c r="PZ23" s="49"/>
      <c r="QA23" s="54"/>
      <c r="QB23" s="49"/>
      <c r="QC23" s="49"/>
      <c r="QD23" s="49"/>
      <c r="QE23" s="49"/>
      <c r="QF23" s="49"/>
      <c r="QG23" s="49"/>
      <c r="QH23" s="49"/>
      <c r="QI23" s="49"/>
      <c r="QJ23" s="49"/>
      <c r="QK23" s="65"/>
      <c r="QL23" s="48"/>
      <c r="QM23" s="49"/>
      <c r="QN23" s="54"/>
      <c r="QO23" s="49"/>
      <c r="QP23" s="49"/>
      <c r="QQ23" s="49"/>
      <c r="QR23" s="49"/>
      <c r="QS23" s="49"/>
      <c r="QT23" s="49"/>
      <c r="QU23" s="49"/>
      <c r="QV23" s="49"/>
      <c r="QW23" s="49"/>
      <c r="QX23" s="65"/>
      <c r="QY23" s="48"/>
      <c r="QZ23" s="49"/>
      <c r="RA23" s="54"/>
      <c r="RB23" s="49"/>
      <c r="RC23" s="49"/>
      <c r="RD23" s="49"/>
      <c r="RE23" s="49"/>
      <c r="RF23" s="49"/>
      <c r="RG23" s="49"/>
      <c r="RH23" s="49"/>
      <c r="RI23" s="49"/>
      <c r="RJ23" s="160"/>
      <c r="RK23" s="65"/>
      <c r="RL23" s="48"/>
      <c r="RM23" s="49"/>
      <c r="RN23" s="54"/>
      <c r="RO23" s="49"/>
      <c r="RP23" s="49"/>
      <c r="RQ23" s="49"/>
      <c r="RR23" s="49"/>
      <c r="RS23" s="49"/>
      <c r="RT23" s="49"/>
      <c r="RU23" s="49"/>
      <c r="RV23" s="49"/>
      <c r="RW23" s="49"/>
      <c r="RX23" s="65"/>
      <c r="RY23" s="48"/>
      <c r="RZ23" s="49"/>
      <c r="SA23" s="54"/>
      <c r="SB23" s="49"/>
      <c r="SC23" s="49"/>
      <c r="SD23" s="49"/>
      <c r="SE23" s="49"/>
      <c r="SF23" s="49"/>
      <c r="SG23" s="49"/>
      <c r="SH23" s="49"/>
      <c r="SI23" s="49"/>
      <c r="SJ23" s="49"/>
      <c r="SK23" s="65"/>
      <c r="SL23" s="48"/>
      <c r="SM23" s="49"/>
      <c r="SN23" s="54"/>
      <c r="SO23" s="49"/>
      <c r="SP23" s="49"/>
      <c r="SQ23" s="49"/>
      <c r="SR23" s="49"/>
      <c r="SS23" s="49"/>
      <c r="ST23" s="49"/>
      <c r="SU23" s="49"/>
      <c r="SV23" s="49"/>
      <c r="SW23" s="49"/>
      <c r="SX23" s="65"/>
      <c r="SY23" s="48"/>
      <c r="SZ23" s="49"/>
      <c r="TA23" s="54"/>
      <c r="TB23" s="49"/>
      <c r="TC23" s="49"/>
      <c r="TD23" s="49"/>
      <c r="TE23" s="49"/>
      <c r="TF23" s="49"/>
      <c r="TG23" s="49"/>
      <c r="TH23" s="49"/>
      <c r="TI23" s="49"/>
      <c r="TJ23" s="49"/>
      <c r="TK23" s="65"/>
      <c r="TL23" s="48"/>
      <c r="TM23" s="49"/>
      <c r="TN23" s="54"/>
      <c r="TO23" s="49"/>
      <c r="TP23" s="49"/>
      <c r="TQ23" s="49"/>
      <c r="TR23" s="49"/>
      <c r="TS23" s="49"/>
      <c r="TT23" s="49"/>
      <c r="TU23" s="49"/>
      <c r="TV23" s="49"/>
      <c r="TW23" s="49"/>
      <c r="TX23" s="65"/>
      <c r="TY23" s="48"/>
      <c r="TZ23" s="49"/>
      <c r="UA23" s="54"/>
      <c r="UB23" s="49"/>
      <c r="UC23" s="49"/>
      <c r="UD23" s="49"/>
      <c r="UE23" s="49"/>
      <c r="UF23" s="49"/>
      <c r="UG23" s="49"/>
      <c r="UH23" s="49"/>
      <c r="UI23" s="49"/>
      <c r="UJ23" s="49"/>
      <c r="UK23" s="65"/>
      <c r="UL23" s="65"/>
      <c r="UM23" s="49"/>
      <c r="UN23" s="54"/>
      <c r="UO23" s="49"/>
      <c r="UP23" s="49"/>
      <c r="UQ23" s="49"/>
      <c r="UR23" s="49"/>
      <c r="US23" s="49"/>
      <c r="UT23" s="49"/>
      <c r="UU23" s="49"/>
      <c r="UW23" s="49"/>
      <c r="UX23" s="65"/>
      <c r="UY23" s="65"/>
      <c r="UZ23" s="49"/>
      <c r="VA23" s="54"/>
      <c r="VB23" s="49"/>
      <c r="VC23" s="49"/>
      <c r="VD23" s="49"/>
      <c r="VE23" s="49"/>
      <c r="VF23" s="49"/>
      <c r="VG23" s="49"/>
      <c r="VH23" s="49"/>
      <c r="VJ23" s="49"/>
      <c r="VK23" s="65"/>
      <c r="VL23" s="48"/>
      <c r="VM23" s="49"/>
      <c r="VN23" s="54"/>
      <c r="VO23" s="49"/>
      <c r="VP23" s="49"/>
      <c r="VQ23" s="49"/>
      <c r="VR23" s="49"/>
      <c r="VS23" s="49"/>
      <c r="VT23" s="49"/>
      <c r="VU23" s="49"/>
      <c r="VV23" s="49"/>
      <c r="VW23" s="49"/>
      <c r="VX23" s="65"/>
      <c r="VY23" s="48"/>
      <c r="VZ23" s="49"/>
      <c r="WA23" s="54"/>
      <c r="WB23" s="49"/>
      <c r="WC23" s="49"/>
      <c r="WD23" s="49"/>
      <c r="WE23" s="49"/>
      <c r="WF23" s="49"/>
      <c r="WG23" s="49"/>
      <c r="WH23" s="49"/>
      <c r="WI23" s="49"/>
      <c r="WJ23" s="49"/>
      <c r="WK23" s="65"/>
      <c r="WL23" s="65"/>
      <c r="WM23" s="49"/>
      <c r="WN23" s="54"/>
      <c r="WO23" s="49"/>
      <c r="WP23" s="49"/>
      <c r="WQ23" s="49"/>
      <c r="WR23" s="49"/>
      <c r="WS23" s="49"/>
      <c r="WT23" s="49"/>
      <c r="WU23" s="49"/>
      <c r="WW23" s="49"/>
      <c r="WX23" s="49"/>
      <c r="WY23" s="65"/>
      <c r="WZ23" s="49"/>
      <c r="XA23" s="54"/>
      <c r="XB23" s="49"/>
      <c r="XC23" s="49"/>
      <c r="XD23" s="49"/>
      <c r="XE23" s="49"/>
      <c r="XF23" s="49"/>
      <c r="XG23" s="49"/>
      <c r="XH23" s="49"/>
      <c r="XJ23" s="49"/>
      <c r="XK23" s="49"/>
      <c r="XL23" s="65"/>
      <c r="XM23" s="49"/>
      <c r="XN23" s="54"/>
      <c r="XO23" s="49"/>
      <c r="XP23" s="49"/>
      <c r="XQ23" s="49"/>
      <c r="XR23" s="49"/>
      <c r="XS23" s="49"/>
      <c r="XT23" s="49"/>
      <c r="XU23" s="49"/>
      <c r="XW23" s="49"/>
      <c r="XX23" s="49"/>
      <c r="XY23" s="48"/>
      <c r="XZ23" s="49"/>
      <c r="YA23" s="54"/>
      <c r="YB23" s="49"/>
      <c r="YC23" s="49"/>
      <c r="YD23" s="49"/>
      <c r="YE23" s="49"/>
      <c r="YF23" s="49"/>
      <c r="YG23" s="49"/>
      <c r="YH23" s="49"/>
      <c r="YJ23" s="49"/>
    </row>
    <row r="24" spans="1:660" ht="11" thickBot="1">
      <c r="A24" s="48" t="s">
        <v>268</v>
      </c>
      <c r="B24" s="167"/>
      <c r="C24" s="196"/>
      <c r="D24" s="167"/>
      <c r="E24" s="166"/>
      <c r="F24" s="167"/>
      <c r="G24" s="166"/>
      <c r="H24" s="167"/>
      <c r="I24" s="166"/>
      <c r="J24" s="167"/>
      <c r="K24" s="166"/>
      <c r="L24" s="167"/>
      <c r="O24" s="48" t="s">
        <v>268</v>
      </c>
      <c r="P24" s="167"/>
      <c r="Q24" s="196"/>
      <c r="R24" s="167"/>
      <c r="S24" s="166"/>
      <c r="T24" s="167"/>
      <c r="U24" s="166"/>
      <c r="V24" s="167"/>
      <c r="W24" s="166"/>
      <c r="X24" s="167"/>
      <c r="Y24" s="166"/>
      <c r="Z24" s="167"/>
      <c r="AC24" s="48" t="s">
        <v>268</v>
      </c>
      <c r="AD24" s="167"/>
      <c r="AE24" s="196"/>
      <c r="AF24" s="167"/>
      <c r="AG24" s="166"/>
      <c r="AH24" s="167"/>
      <c r="AI24" s="166"/>
      <c r="AJ24" s="167"/>
      <c r="AK24" s="166"/>
      <c r="AL24" s="167"/>
      <c r="AM24" s="166"/>
      <c r="AN24" s="167"/>
      <c r="AQ24" s="48" t="s">
        <v>268</v>
      </c>
      <c r="AR24" s="167">
        <f>AR22</f>
        <v>50606792.729398139</v>
      </c>
      <c r="AS24" s="196"/>
      <c r="AT24" s="167">
        <f>AT22</f>
        <v>3905351.2109506191</v>
      </c>
      <c r="AU24" s="166"/>
      <c r="AV24" s="167">
        <v>0</v>
      </c>
      <c r="AW24" s="166"/>
      <c r="AX24" s="167">
        <f>AX22</f>
        <v>-3489779.5621749987</v>
      </c>
      <c r="AY24" s="166"/>
      <c r="AZ24" s="167">
        <f>AZ22</f>
        <v>0</v>
      </c>
      <c r="BA24" s="166"/>
      <c r="BB24" s="167">
        <f>SUM(AR24:AZ24)</f>
        <v>51022364.378173761</v>
      </c>
      <c r="BE24" s="48" t="s">
        <v>268</v>
      </c>
      <c r="BF24" s="167">
        <f>BF22</f>
        <v>143577530.77733916</v>
      </c>
      <c r="BG24" s="196"/>
      <c r="BH24" s="167">
        <f>BH22</f>
        <v>16276638.838215383</v>
      </c>
      <c r="BI24" s="166"/>
      <c r="BJ24" s="167">
        <v>0</v>
      </c>
      <c r="BK24" s="166"/>
      <c r="BL24" s="167">
        <f>BL22</f>
        <v>-14268118.729375089</v>
      </c>
      <c r="BM24" s="166"/>
      <c r="BN24" s="167">
        <f>BN22</f>
        <v>2632.4949166676961</v>
      </c>
      <c r="BO24" s="166"/>
      <c r="BP24" s="167">
        <f>SUM(BF24:BN24)</f>
        <v>145588683.38109612</v>
      </c>
      <c r="BS24" s="48" t="s">
        <v>268</v>
      </c>
      <c r="BT24" s="167">
        <f>BT22</f>
        <v>108268945.79848473</v>
      </c>
      <c r="BU24" s="196"/>
      <c r="BV24" s="167">
        <f>BV22</f>
        <v>11955741.959545769</v>
      </c>
      <c r="BW24" s="166"/>
      <c r="BX24" s="167">
        <v>0</v>
      </c>
      <c r="BY24" s="166"/>
      <c r="BZ24" s="167">
        <f>BZ22</f>
        <v>-9293180.1943534464</v>
      </c>
      <c r="CA24" s="166"/>
      <c r="CB24" s="167">
        <f>CB22</f>
        <v>111079.41610277828</v>
      </c>
      <c r="CC24" s="166"/>
      <c r="CD24" s="167">
        <f>SUM(BT24:CB24)</f>
        <v>111042586.97977984</v>
      </c>
      <c r="CG24" s="48" t="s">
        <v>268</v>
      </c>
      <c r="CH24" s="167">
        <f>CH22</f>
        <v>76560051.368352085</v>
      </c>
      <c r="CI24" s="196"/>
      <c r="CJ24" s="167">
        <f>CJ22</f>
        <v>8521338.8588792719</v>
      </c>
      <c r="CK24" s="166"/>
      <c r="CL24" s="167">
        <v>0</v>
      </c>
      <c r="CM24" s="166"/>
      <c r="CN24" s="167">
        <f>CN22</f>
        <v>-6492552.9045651685</v>
      </c>
      <c r="CO24" s="166"/>
      <c r="CP24" s="167">
        <f>CP22</f>
        <v>73432.499937606117</v>
      </c>
      <c r="CQ24" s="166"/>
      <c r="CR24" s="167">
        <f>SUM(CH24:CP24)</f>
        <v>78662269.822603792</v>
      </c>
      <c r="CU24" s="48" t="s">
        <v>268</v>
      </c>
      <c r="CV24" s="167">
        <f>CV22</f>
        <v>53130675.221675918</v>
      </c>
      <c r="CW24" s="196"/>
      <c r="CX24" s="167">
        <f>CX22</f>
        <v>4127978.0693028611</v>
      </c>
      <c r="CY24" s="166"/>
      <c r="CZ24" s="167">
        <v>0</v>
      </c>
      <c r="DA24" s="166"/>
      <c r="DB24" s="167">
        <f>DB22</f>
        <v>-4150628.9881689986</v>
      </c>
      <c r="DC24" s="166"/>
      <c r="DD24" s="167">
        <f>DD22</f>
        <v>37155.000000000153</v>
      </c>
      <c r="DE24" s="166"/>
      <c r="DF24" s="167">
        <f>SUM(CV24:DD24)</f>
        <v>53145179.302809782</v>
      </c>
      <c r="DI24" s="48" t="s">
        <v>268</v>
      </c>
      <c r="DJ24" s="167">
        <f>DJ22</f>
        <v>98943788.03762275</v>
      </c>
      <c r="DK24" s="196"/>
      <c r="DL24" s="167">
        <f>DL22</f>
        <v>11237528.810399333</v>
      </c>
      <c r="DM24" s="166"/>
      <c r="DN24" s="167">
        <v>0</v>
      </c>
      <c r="DO24" s="166"/>
      <c r="DP24" s="167">
        <v>-12953157.169872001</v>
      </c>
      <c r="DQ24" s="166"/>
      <c r="DR24" s="167">
        <v>88259.54466812592</v>
      </c>
      <c r="DS24" s="166"/>
      <c r="DT24" s="167">
        <f>SUM(DJ24:DR24)</f>
        <v>97316419.222818211</v>
      </c>
      <c r="DW24" s="48" t="s">
        <v>268</v>
      </c>
      <c r="DX24" s="53">
        <f>DX22</f>
        <v>64946050.339381166</v>
      </c>
      <c r="DY24" s="54"/>
      <c r="DZ24" s="53">
        <f>DZ22</f>
        <v>7873527.5452996176</v>
      </c>
      <c r="EA24" s="49"/>
      <c r="EB24" s="53">
        <v>0</v>
      </c>
      <c r="EC24" s="49"/>
      <c r="ED24" s="53">
        <v>-6710662.5172918597</v>
      </c>
      <c r="EE24" s="49"/>
      <c r="EF24" s="53">
        <v>-528511.9781976667</v>
      </c>
      <c r="EG24" s="49"/>
      <c r="EH24" s="53">
        <f>SUM(DX24:EF24)</f>
        <v>65580403.389191255</v>
      </c>
      <c r="EK24" s="48" t="s">
        <v>268</v>
      </c>
      <c r="EL24" s="53">
        <f>EL22</f>
        <v>40092150.249355212</v>
      </c>
      <c r="EM24" s="54"/>
      <c r="EN24" s="53">
        <f>EN22</f>
        <v>4734174.0811709203</v>
      </c>
      <c r="EO24" s="49"/>
      <c r="EP24" s="53">
        <v>0</v>
      </c>
      <c r="EQ24" s="49"/>
      <c r="ER24" s="159">
        <v>-4057709.7928055786</v>
      </c>
      <c r="ES24" s="49"/>
      <c r="ET24" s="53">
        <f>ET22</f>
        <v>-86960.052016000147</v>
      </c>
      <c r="EU24" s="49"/>
      <c r="EV24" s="53">
        <f>SUM(EL24:ET24)</f>
        <v>40681654.485704549</v>
      </c>
      <c r="EY24" s="48" t="s">
        <v>268</v>
      </c>
      <c r="EZ24" s="53">
        <f>EZ22</f>
        <v>30343292.321166694</v>
      </c>
      <c r="FA24" s="54"/>
      <c r="FB24" s="53">
        <f>FB22</f>
        <v>1461892.8799999992</v>
      </c>
      <c r="FC24" s="49"/>
      <c r="FD24" s="53">
        <v>0</v>
      </c>
      <c r="FE24" s="49"/>
      <c r="FF24" s="53">
        <f>FF22</f>
        <v>-1993514.9100000008</v>
      </c>
      <c r="FG24" s="49"/>
      <c r="FH24" s="53">
        <f>FH22</f>
        <v>-35779.655085312661</v>
      </c>
      <c r="FI24" s="49"/>
      <c r="FJ24" s="53">
        <f>SUM(EZ24:FH24)</f>
        <v>29775890.636081379</v>
      </c>
      <c r="FM24" s="48" t="s">
        <v>268</v>
      </c>
      <c r="FN24" s="53">
        <f>FN22</f>
        <v>29701310.797077939</v>
      </c>
      <c r="FO24" s="54"/>
      <c r="FP24" s="53">
        <f>FP22</f>
        <v>7273762.98828049</v>
      </c>
      <c r="FQ24" s="49"/>
      <c r="FR24" s="53">
        <v>0</v>
      </c>
      <c r="FS24" s="49"/>
      <c r="FT24" s="53">
        <v>-6046011.235265919</v>
      </c>
      <c r="FU24" s="49"/>
      <c r="FV24" s="53">
        <f>FV22</f>
        <v>1280898.6423695248</v>
      </c>
      <c r="FW24" s="49"/>
      <c r="FX24" s="53">
        <f>SUM(FN24:FV24)</f>
        <v>32209961.192462035</v>
      </c>
      <c r="GA24" s="48" t="s">
        <v>268</v>
      </c>
      <c r="GB24" s="53">
        <f>GB22</f>
        <v>16161827.357422533</v>
      </c>
      <c r="GC24" s="54"/>
      <c r="GD24" s="53">
        <f>GD22</f>
        <v>6108942.9922500011</v>
      </c>
      <c r="GE24" s="49"/>
      <c r="GF24" s="53">
        <v>0</v>
      </c>
      <c r="GG24" s="49"/>
      <c r="GH24" s="53">
        <v>-4111289.4939684956</v>
      </c>
      <c r="GI24" s="49"/>
      <c r="GJ24" s="53">
        <f>GJ22</f>
        <v>718500.07338525704</v>
      </c>
      <c r="GK24" s="49"/>
      <c r="GL24" s="53">
        <f>SUM(GB24:GJ24)</f>
        <v>18877980.929089297</v>
      </c>
      <c r="GO24" s="48" t="s">
        <v>268</v>
      </c>
      <c r="GP24" s="53">
        <f>GP22</f>
        <v>9212610.1303495076</v>
      </c>
      <c r="GQ24" s="54"/>
      <c r="GR24" s="53">
        <f>GR22</f>
        <v>4441361.4300000006</v>
      </c>
      <c r="GS24" s="49"/>
      <c r="GT24" s="53">
        <v>0</v>
      </c>
      <c r="GU24" s="49"/>
      <c r="GV24" s="159">
        <v>-2310623.8714775005</v>
      </c>
      <c r="GW24" s="49"/>
      <c r="GX24" s="53">
        <f>GX22</f>
        <v>441096.99696749996</v>
      </c>
      <c r="GY24" s="49"/>
      <c r="GZ24" s="53">
        <f>SUM(GP24:GX24)</f>
        <v>11784444.68583951</v>
      </c>
      <c r="HC24" s="48" t="s">
        <v>268</v>
      </c>
      <c r="HD24" s="53">
        <f>HD22</f>
        <v>4358767.8400000073</v>
      </c>
      <c r="HE24" s="54"/>
      <c r="HF24" s="53">
        <f>HF22</f>
        <v>2118460.67</v>
      </c>
      <c r="HG24" s="49"/>
      <c r="HH24" s="53">
        <v>0</v>
      </c>
      <c r="HI24" s="49"/>
      <c r="HJ24" s="53">
        <f>HJ22</f>
        <v>-1154127.4405</v>
      </c>
      <c r="HK24" s="49"/>
      <c r="HL24" s="53">
        <f>HL22</f>
        <v>220447.49065000028</v>
      </c>
      <c r="HM24" s="49"/>
      <c r="HN24" s="53">
        <f>SUM(HD24:HL24)</f>
        <v>5543548.5601500068</v>
      </c>
      <c r="HQ24" s="48" t="s">
        <v>268</v>
      </c>
      <c r="HR24" s="53">
        <f>HR22</f>
        <v>18636369.750000004</v>
      </c>
      <c r="HS24" s="54"/>
      <c r="HT24" s="53">
        <f>HT22</f>
        <v>7563529.8400000017</v>
      </c>
      <c r="HU24" s="49"/>
      <c r="HV24" s="53">
        <v>0</v>
      </c>
      <c r="HW24" s="49"/>
      <c r="HX24" s="53">
        <f>HX22</f>
        <v>-4059425.8019999992</v>
      </c>
      <c r="HY24" s="49"/>
      <c r="HZ24" s="53">
        <f>HZ22</f>
        <v>815613.24000001501</v>
      </c>
      <c r="IA24" s="49"/>
      <c r="IB24" s="53">
        <f>SUM(HR24:HZ24)</f>
        <v>22956087.028000016</v>
      </c>
      <c r="IE24" s="48" t="s">
        <v>268</v>
      </c>
      <c r="IF24" s="53">
        <f>IF22</f>
        <v>12208393.449999996</v>
      </c>
      <c r="IG24" s="54"/>
      <c r="IH24" s="53">
        <f>IH22</f>
        <v>5393001.2899999991</v>
      </c>
      <c r="II24" s="49"/>
      <c r="IJ24" s="53">
        <v>0</v>
      </c>
      <c r="IK24" s="49"/>
      <c r="IL24" s="53">
        <f>IL22</f>
        <v>-2632211.7614999991</v>
      </c>
      <c r="IM24" s="49"/>
      <c r="IN24" s="53">
        <f>IN22</f>
        <v>592915.72225003014</v>
      </c>
      <c r="IO24" s="49"/>
      <c r="IP24" s="53">
        <f>SUM(IF24:IN24)</f>
        <v>15562098.700750025</v>
      </c>
      <c r="IS24" s="48" t="s">
        <v>268</v>
      </c>
      <c r="IT24" s="53">
        <f>IT22</f>
        <v>11036664.920000002</v>
      </c>
      <c r="IU24" s="54"/>
      <c r="IV24" s="53">
        <f>IV22</f>
        <v>3228593.47</v>
      </c>
      <c r="IW24" s="49"/>
      <c r="IX24" s="53">
        <v>0</v>
      </c>
      <c r="IY24" s="49"/>
      <c r="IZ24" s="53">
        <f>IZ22</f>
        <v>-2250474.6809999989</v>
      </c>
      <c r="JA24" s="49"/>
      <c r="JB24" s="53">
        <f>JB22</f>
        <v>367469.30150000006</v>
      </c>
      <c r="JC24" s="49"/>
      <c r="JD24" s="53">
        <f>SUM(IT24:JB24)</f>
        <v>12382253.010500003</v>
      </c>
      <c r="JG24" s="48" t="s">
        <v>268</v>
      </c>
      <c r="JH24" s="53">
        <f>JH22</f>
        <v>6323368.0100000026</v>
      </c>
      <c r="JI24" s="54"/>
      <c r="JJ24" s="53">
        <f>JJ22</f>
        <v>1273821.1900000002</v>
      </c>
      <c r="JK24" s="49"/>
      <c r="JL24" s="53">
        <v>0</v>
      </c>
      <c r="JM24" s="49"/>
      <c r="JN24" s="53">
        <f>JN22</f>
        <v>-997033.33049999992</v>
      </c>
      <c r="JO24" s="49"/>
      <c r="JP24" s="53">
        <f>JP22</f>
        <v>168781.01074999996</v>
      </c>
      <c r="JQ24" s="49"/>
      <c r="JR24" s="53">
        <f>SUM(JH24:JP24)</f>
        <v>6768936.8802500032</v>
      </c>
      <c r="JU24" s="48" t="s">
        <v>268</v>
      </c>
      <c r="JV24" s="53">
        <f>JV22</f>
        <v>17804951.870000005</v>
      </c>
      <c r="JW24" s="54"/>
      <c r="JX24" s="53">
        <f>JX22</f>
        <v>8370683.8400000036</v>
      </c>
      <c r="JY24" s="49"/>
      <c r="JZ24" s="53">
        <v>0</v>
      </c>
      <c r="KA24" s="49"/>
      <c r="KB24" s="53">
        <f>KB22</f>
        <v>-5012724.1619999986</v>
      </c>
      <c r="KC24" s="49"/>
      <c r="KD24" s="53">
        <f>KD22</f>
        <v>473631.1454500003</v>
      </c>
      <c r="KE24" s="49"/>
      <c r="KF24" s="53">
        <f>SUM(JV24:KD24)</f>
        <v>21636542.693450008</v>
      </c>
      <c r="KI24" s="48" t="s">
        <v>268</v>
      </c>
      <c r="KJ24" s="53">
        <f>KJ22</f>
        <v>12049298.42999999</v>
      </c>
      <c r="KK24" s="54"/>
      <c r="KL24" s="53">
        <f>KL22</f>
        <v>6492203.4300000034</v>
      </c>
      <c r="KM24" s="49"/>
      <c r="KN24" s="53">
        <v>0</v>
      </c>
      <c r="KO24" s="49"/>
      <c r="KP24" s="53">
        <f>KP22</f>
        <v>-3412758.0315000005</v>
      </c>
      <c r="KQ24" s="49"/>
      <c r="KR24" s="53">
        <f>KR22</f>
        <v>321653.2906000003</v>
      </c>
      <c r="KS24" s="49"/>
      <c r="KT24" s="53">
        <f>SUM(KJ24:KR24)</f>
        <v>15450397.119099991</v>
      </c>
      <c r="KW24" s="48" t="s">
        <v>268</v>
      </c>
      <c r="KX24" s="53">
        <f>KX22</f>
        <v>8920112.0099999979</v>
      </c>
      <c r="KY24" s="54"/>
      <c r="KZ24" s="53">
        <f>KZ22</f>
        <v>4781860.82</v>
      </c>
      <c r="LA24" s="49"/>
      <c r="LB24" s="53">
        <v>0</v>
      </c>
      <c r="LC24" s="49"/>
      <c r="LD24" s="53">
        <f>LD22</f>
        <v>-2334649.7009999994</v>
      </c>
      <c r="LE24" s="49"/>
      <c r="LF24" s="53">
        <f>LF22</f>
        <v>178928.15674999979</v>
      </c>
      <c r="LG24" s="49"/>
      <c r="LH24" s="53">
        <f>SUM(KX24:LF24)</f>
        <v>11546251.285749998</v>
      </c>
      <c r="LJ24" s="48" t="s">
        <v>268</v>
      </c>
      <c r="LK24" s="53">
        <f>LK22</f>
        <v>4333290.030000004</v>
      </c>
      <c r="LL24" s="54"/>
      <c r="LM24" s="53">
        <f>LM22</f>
        <v>2709925.6807400188</v>
      </c>
      <c r="LN24" s="49"/>
      <c r="LO24" s="159">
        <v>0</v>
      </c>
      <c r="LP24" s="49"/>
      <c r="LQ24" s="53">
        <f>LQ22</f>
        <v>-1218598.4505</v>
      </c>
      <c r="LR24" s="49"/>
      <c r="LS24" s="53">
        <f>LS22</f>
        <v>-65512.020740012522</v>
      </c>
      <c r="LT24" s="49"/>
      <c r="LU24" s="53">
        <f>SUM(LK24:LT24)</f>
        <v>5759105.2395000095</v>
      </c>
      <c r="LV24" s="49"/>
      <c r="LW24" s="48" t="s">
        <v>268</v>
      </c>
      <c r="LX24" s="53">
        <f>LX22</f>
        <v>19706995.279999997</v>
      </c>
      <c r="LY24" s="54"/>
      <c r="LZ24" s="53">
        <f>LZ22</f>
        <v>7841428.620000001</v>
      </c>
      <c r="MA24" s="49"/>
      <c r="MB24" s="53">
        <v>0</v>
      </c>
      <c r="MC24" s="49"/>
      <c r="MD24" s="53">
        <f>MD22</f>
        <v>-7406839.9619999994</v>
      </c>
      <c r="ME24" s="49"/>
      <c r="MF24" s="53">
        <f>MF22-MF15</f>
        <v>99980.750000000349</v>
      </c>
      <c r="MG24" s="49"/>
      <c r="MH24" s="53">
        <f>SUM(LX24:MF24)</f>
        <v>20241564.688000001</v>
      </c>
      <c r="MK24" s="48" t="s">
        <v>268</v>
      </c>
      <c r="ML24" s="53">
        <v>16712127.220000025</v>
      </c>
      <c r="MM24" s="54"/>
      <c r="MN24" s="53">
        <v>5440125.849999994</v>
      </c>
      <c r="MO24" s="49"/>
      <c r="MP24" s="53">
        <v>0</v>
      </c>
      <c r="MQ24" s="49"/>
      <c r="MR24" s="53">
        <v>-4716856.8614999978</v>
      </c>
      <c r="MS24" s="49"/>
      <c r="MT24" s="53">
        <v>58867.500000000051</v>
      </c>
      <c r="MU24" s="49"/>
      <c r="MV24" s="53">
        <f>SUM(ML24:MT24)</f>
        <v>17494263.70850002</v>
      </c>
      <c r="MY24" s="48" t="s">
        <v>268</v>
      </c>
      <c r="MZ24" s="53">
        <v>14940700</v>
      </c>
      <c r="NA24" s="54"/>
      <c r="NB24" s="53">
        <v>3609380.0100000012</v>
      </c>
      <c r="NC24" s="49"/>
      <c r="ND24" s="53">
        <v>0</v>
      </c>
      <c r="NE24" s="49"/>
      <c r="NF24" s="53">
        <v>-3271004.7156070806</v>
      </c>
      <c r="NG24" s="49"/>
      <c r="NH24" s="53">
        <v>10685.130000000281</v>
      </c>
      <c r="NI24" s="49"/>
      <c r="NJ24" s="53">
        <f>SUM(MZ24:NH24)</f>
        <v>15289760.424392922</v>
      </c>
      <c r="NL24" s="48" t="s">
        <v>268</v>
      </c>
      <c r="NM24" s="53">
        <f>NM22</f>
        <v>11722490.919999996</v>
      </c>
      <c r="NN24" s="54"/>
      <c r="NO24" s="53">
        <f>NO22</f>
        <v>1661766.0799999996</v>
      </c>
      <c r="NP24" s="49"/>
      <c r="NQ24" s="159">
        <v>0</v>
      </c>
      <c r="NR24" s="49"/>
      <c r="NS24" s="53">
        <f>NS22</f>
        <v>-1195082.3951070802</v>
      </c>
      <c r="NT24" s="49"/>
      <c r="NU24" s="53">
        <f>NU22-NU15</f>
        <v>-26340.000000000386</v>
      </c>
      <c r="NV24" s="49"/>
      <c r="NW24" s="53">
        <f>SUM(NM24:NU24)</f>
        <v>12162834.604892917</v>
      </c>
      <c r="NY24" s="48" t="s">
        <v>268</v>
      </c>
      <c r="NZ24" s="53">
        <v>7101968.3399999924</v>
      </c>
      <c r="OA24" s="54"/>
      <c r="OB24" s="53">
        <v>10247152.23</v>
      </c>
      <c r="OC24" s="49"/>
      <c r="OD24" s="53">
        <v>0</v>
      </c>
      <c r="OE24" s="49"/>
      <c r="OF24" s="53">
        <v>-6243045.4702333342</v>
      </c>
      <c r="OG24" s="49"/>
      <c r="OH24" s="53">
        <v>-905187.5178299885</v>
      </c>
      <c r="OI24" s="49"/>
      <c r="OJ24" s="53">
        <f t="shared" ref="OJ24" si="42">SUM(NZ24:OH24)</f>
        <v>10200887.58193667</v>
      </c>
      <c r="OK24" s="65"/>
      <c r="OL24" s="48"/>
      <c r="OM24" s="49"/>
      <c r="ON24" s="54"/>
      <c r="OO24" s="49"/>
      <c r="OP24" s="49"/>
      <c r="OQ24" s="131"/>
      <c r="OR24" s="49"/>
      <c r="OS24" s="49"/>
      <c r="OT24" s="49"/>
      <c r="OU24" s="49"/>
      <c r="OV24" s="49"/>
      <c r="OW24" s="49"/>
      <c r="OX24" s="65"/>
      <c r="OY24" s="48"/>
      <c r="OZ24" s="49"/>
      <c r="PA24" s="54"/>
      <c r="PB24" s="49"/>
      <c r="PC24" s="49"/>
      <c r="PD24" s="131"/>
      <c r="PE24" s="49"/>
      <c r="PF24" s="49"/>
      <c r="PG24" s="49"/>
      <c r="PH24" s="49"/>
      <c r="PI24" s="49"/>
      <c r="PJ24" s="49"/>
      <c r="PK24" s="65"/>
      <c r="PL24" s="48"/>
      <c r="PM24" s="49"/>
      <c r="PN24" s="54"/>
      <c r="PO24" s="49"/>
      <c r="PP24" s="49"/>
      <c r="PQ24" s="131"/>
      <c r="PR24" s="49"/>
      <c r="PS24" s="49"/>
      <c r="PT24" s="49"/>
      <c r="PU24" s="49"/>
      <c r="PV24" s="49"/>
      <c r="PW24" s="49"/>
      <c r="PX24" s="65"/>
      <c r="PY24" s="48"/>
      <c r="PZ24" s="49"/>
      <c r="QA24" s="54"/>
      <c r="QB24" s="49"/>
      <c r="QC24" s="49"/>
      <c r="QD24" s="49"/>
      <c r="QE24" s="49"/>
      <c r="QF24" s="49"/>
      <c r="QG24" s="49"/>
      <c r="QH24" s="49"/>
      <c r="QI24" s="49"/>
      <c r="QJ24" s="49"/>
      <c r="QK24" s="65"/>
      <c r="QL24" s="48"/>
      <c r="QM24" s="49"/>
      <c r="QN24" s="54"/>
      <c r="QO24" s="49"/>
      <c r="QP24" s="49"/>
      <c r="QQ24" s="49"/>
      <c r="QR24" s="49"/>
      <c r="QS24" s="49"/>
      <c r="QT24" s="49"/>
      <c r="QU24" s="49"/>
      <c r="QV24" s="49"/>
      <c r="QW24" s="49"/>
      <c r="QX24" s="65"/>
      <c r="QY24" s="48"/>
      <c r="QZ24" s="49"/>
      <c r="RA24" s="54"/>
      <c r="RB24" s="49"/>
      <c r="RC24" s="49"/>
      <c r="RD24" s="49"/>
      <c r="RE24" s="49"/>
      <c r="RF24" s="49"/>
      <c r="RG24" s="49"/>
      <c r="RH24" s="49"/>
      <c r="RI24" s="49"/>
      <c r="RJ24" s="160"/>
      <c r="RK24" s="65"/>
      <c r="RL24" s="48"/>
      <c r="RM24" s="49"/>
      <c r="RN24" s="54"/>
      <c r="RO24" s="49"/>
      <c r="RP24" s="49"/>
      <c r="RQ24" s="49"/>
      <c r="RR24" s="49"/>
      <c r="RS24" s="49"/>
      <c r="RT24" s="49"/>
      <c r="RU24" s="49"/>
      <c r="RV24" s="49"/>
      <c r="RW24" s="49"/>
      <c r="RX24" s="65"/>
      <c r="RY24" s="48"/>
      <c r="RZ24" s="49"/>
      <c r="SA24" s="54"/>
      <c r="SB24" s="49"/>
      <c r="SC24" s="49"/>
      <c r="SD24" s="49"/>
      <c r="SE24" s="49"/>
      <c r="SF24" s="49"/>
      <c r="SG24" s="49"/>
      <c r="SH24" s="49"/>
      <c r="SI24" s="49"/>
      <c r="SJ24" s="49"/>
      <c r="SK24" s="65"/>
      <c r="SL24" s="48"/>
      <c r="SM24" s="49"/>
      <c r="SN24" s="54"/>
      <c r="SO24" s="49"/>
      <c r="SP24" s="49"/>
      <c r="SQ24" s="49"/>
      <c r="SR24" s="49"/>
      <c r="SS24" s="49"/>
      <c r="ST24" s="49"/>
      <c r="SU24" s="49"/>
      <c r="SV24" s="49"/>
      <c r="SW24" s="49"/>
      <c r="SX24" s="65"/>
      <c r="SY24" s="48"/>
      <c r="SZ24" s="49"/>
      <c r="TA24" s="54"/>
      <c r="TB24" s="49"/>
      <c r="TC24" s="49"/>
      <c r="TD24" s="49"/>
      <c r="TE24" s="49"/>
      <c r="TF24" s="49"/>
      <c r="TG24" s="49"/>
      <c r="TH24" s="49"/>
      <c r="TI24" s="49"/>
      <c r="TJ24" s="49"/>
      <c r="TK24" s="65"/>
      <c r="TL24" s="48"/>
      <c r="TM24" s="49"/>
      <c r="TN24" s="54"/>
      <c r="TO24" s="49"/>
      <c r="TP24" s="49"/>
      <c r="TQ24" s="49"/>
      <c r="TR24" s="49"/>
      <c r="TS24" s="49"/>
      <c r="TT24" s="49"/>
      <c r="TU24" s="49"/>
      <c r="TV24" s="49"/>
      <c r="TW24" s="49"/>
      <c r="TX24" s="65"/>
      <c r="TY24" s="48"/>
      <c r="TZ24" s="49"/>
      <c r="UA24" s="54"/>
      <c r="UB24" s="49"/>
      <c r="UC24" s="49"/>
      <c r="UD24" s="49"/>
      <c r="UE24" s="49"/>
      <c r="UF24" s="49"/>
      <c r="UG24" s="49"/>
      <c r="UH24" s="49"/>
      <c r="UI24" s="49"/>
      <c r="UJ24" s="49"/>
      <c r="UK24" s="65"/>
      <c r="UL24" s="65"/>
      <c r="UM24" s="49"/>
      <c r="UN24" s="54"/>
      <c r="UO24" s="49"/>
      <c r="UP24" s="49"/>
      <c r="UQ24" s="49"/>
      <c r="UR24" s="49"/>
      <c r="US24" s="49"/>
      <c r="UT24" s="49"/>
      <c r="UU24" s="49"/>
      <c r="UW24" s="49"/>
      <c r="UX24" s="65"/>
      <c r="UY24" s="65"/>
      <c r="UZ24" s="49"/>
      <c r="VA24" s="54"/>
      <c r="VB24" s="49"/>
      <c r="VC24" s="49"/>
      <c r="VD24" s="49"/>
      <c r="VE24" s="49"/>
      <c r="VF24" s="49"/>
      <c r="VG24" s="49"/>
      <c r="VH24" s="49"/>
      <c r="VJ24" s="49"/>
      <c r="VK24" s="65"/>
      <c r="VL24" s="48"/>
      <c r="VM24" s="49"/>
      <c r="VN24" s="54"/>
      <c r="VO24" s="49"/>
      <c r="VP24" s="49"/>
      <c r="VQ24" s="49"/>
      <c r="VR24" s="49"/>
      <c r="VS24" s="49"/>
      <c r="VT24" s="49"/>
      <c r="VU24" s="49"/>
      <c r="VV24" s="49"/>
      <c r="VW24" s="49"/>
      <c r="VX24" s="65"/>
      <c r="VY24" s="48"/>
      <c r="VZ24" s="49"/>
      <c r="WA24" s="54"/>
      <c r="WB24" s="49"/>
      <c r="WC24" s="49"/>
      <c r="WD24" s="49"/>
      <c r="WE24" s="49"/>
      <c r="WF24" s="49"/>
      <c r="WG24" s="49"/>
      <c r="WH24" s="49"/>
      <c r="WI24" s="49"/>
      <c r="WJ24" s="49"/>
      <c r="WK24" s="65"/>
      <c r="WL24" s="65"/>
      <c r="WM24" s="49"/>
      <c r="WN24" s="54"/>
      <c r="WO24" s="49"/>
      <c r="WP24" s="49"/>
      <c r="WQ24" s="49"/>
      <c r="WR24" s="49"/>
      <c r="WS24" s="49"/>
      <c r="WT24" s="49"/>
      <c r="WU24" s="49"/>
      <c r="WW24" s="49"/>
      <c r="WX24" s="49"/>
      <c r="WY24" s="65"/>
      <c r="WZ24" s="49"/>
      <c r="XA24" s="54"/>
      <c r="XB24" s="49"/>
      <c r="XC24" s="49"/>
      <c r="XD24" s="49"/>
      <c r="XE24" s="49"/>
      <c r="XF24" s="49"/>
      <c r="XG24" s="49"/>
      <c r="XH24" s="49"/>
      <c r="XJ24" s="49"/>
      <c r="XK24" s="49"/>
      <c r="XL24" s="65"/>
      <c r="XM24" s="49"/>
      <c r="XN24" s="54"/>
      <c r="XO24" s="49"/>
      <c r="XP24" s="49"/>
      <c r="XQ24" s="49"/>
      <c r="XR24" s="49"/>
      <c r="XS24" s="49"/>
      <c r="XT24" s="49"/>
      <c r="XU24" s="49"/>
      <c r="XW24" s="49"/>
      <c r="XX24" s="49"/>
      <c r="XY24" s="48"/>
      <c r="XZ24" s="49"/>
      <c r="YA24" s="54"/>
      <c r="YB24" s="49"/>
      <c r="YC24" s="49"/>
      <c r="YD24" s="49"/>
      <c r="YE24" s="49"/>
      <c r="YF24" s="49"/>
      <c r="YG24" s="49"/>
      <c r="YH24" s="49"/>
      <c r="YJ24" s="49"/>
    </row>
    <row r="25" spans="1:660">
      <c r="B25" s="193"/>
      <c r="P25" s="193"/>
      <c r="AD25" s="193"/>
      <c r="AR25" s="193"/>
      <c r="BF25" s="193"/>
      <c r="BT25" s="193"/>
      <c r="CH25" s="193"/>
      <c r="CV25" s="193"/>
      <c r="DJ25" s="193"/>
      <c r="XZ25" s="64"/>
      <c r="YA25" s="64"/>
      <c r="YB25" s="64"/>
      <c r="YC25" s="64"/>
      <c r="YD25" s="64"/>
      <c r="YE25" s="64"/>
      <c r="YF25" s="64"/>
      <c r="YG25" s="64"/>
      <c r="YH25" s="64"/>
      <c r="YI25" s="64"/>
      <c r="YJ25" s="64"/>
    </row>
    <row r="26" spans="1:660" s="107" customFormat="1">
      <c r="B26" s="108"/>
      <c r="C26" s="108"/>
      <c r="D26" s="109"/>
      <c r="E26" s="109"/>
      <c r="F26" s="109"/>
      <c r="G26" s="109"/>
      <c r="H26" s="109"/>
      <c r="I26" s="109"/>
      <c r="J26" s="109"/>
      <c r="K26" s="109"/>
      <c r="L26" s="109"/>
      <c r="P26" s="108"/>
      <c r="Q26" s="108"/>
      <c r="R26" s="109"/>
      <c r="S26" s="109"/>
      <c r="T26" s="109"/>
      <c r="U26" s="109"/>
      <c r="V26" s="109"/>
      <c r="W26" s="109"/>
      <c r="X26" s="109"/>
      <c r="Y26" s="109"/>
      <c r="Z26" s="109"/>
      <c r="AD26" s="108"/>
      <c r="AE26" s="108"/>
      <c r="AF26" s="109"/>
      <c r="AG26" s="109"/>
      <c r="AH26" s="109"/>
      <c r="AI26" s="109"/>
      <c r="AJ26" s="109"/>
      <c r="AK26" s="109"/>
      <c r="AL26" s="109"/>
      <c r="AM26" s="109"/>
      <c r="AN26" s="109"/>
      <c r="AR26" s="108"/>
      <c r="AS26" s="108"/>
      <c r="AT26" s="109"/>
      <c r="AU26" s="109"/>
      <c r="AV26" s="109"/>
      <c r="AW26" s="109"/>
      <c r="AX26" s="109"/>
      <c r="AY26" s="109"/>
      <c r="AZ26" s="109"/>
      <c r="BA26" s="109"/>
      <c r="BB26" s="109"/>
      <c r="BF26" s="108"/>
      <c r="BG26" s="108"/>
      <c r="BH26" s="109"/>
      <c r="BI26" s="109"/>
      <c r="BJ26" s="109"/>
      <c r="BK26" s="109"/>
      <c r="BL26" s="109"/>
      <c r="BM26" s="109"/>
      <c r="BN26" s="109"/>
      <c r="BO26" s="109"/>
      <c r="BP26" s="109"/>
      <c r="BT26" s="108"/>
      <c r="BU26" s="108"/>
      <c r="BV26" s="109"/>
      <c r="BW26" s="109"/>
      <c r="BX26" s="109"/>
      <c r="BY26" s="109"/>
      <c r="BZ26" s="109"/>
      <c r="CA26" s="109"/>
      <c r="CB26" s="109"/>
      <c r="CC26" s="109"/>
      <c r="CD26" s="109"/>
      <c r="CH26" s="108"/>
      <c r="CI26" s="108"/>
      <c r="CJ26" s="109"/>
      <c r="CK26" s="109"/>
      <c r="CL26" s="109"/>
      <c r="CM26" s="109"/>
      <c r="CN26" s="109"/>
      <c r="CO26" s="109"/>
      <c r="CP26" s="109"/>
      <c r="CQ26" s="109"/>
      <c r="CR26" s="109"/>
      <c r="CV26" s="108"/>
      <c r="CW26" s="108"/>
      <c r="CX26" s="109"/>
      <c r="CY26" s="109"/>
      <c r="CZ26" s="109"/>
      <c r="DA26" s="109"/>
      <c r="DB26" s="109"/>
      <c r="DC26" s="109"/>
      <c r="DD26" s="109"/>
      <c r="DE26" s="109"/>
      <c r="DF26" s="109"/>
      <c r="DJ26" s="108"/>
      <c r="DK26" s="108"/>
      <c r="DL26" s="109"/>
      <c r="DM26" s="109"/>
      <c r="DN26" s="109"/>
      <c r="DO26" s="109"/>
      <c r="DP26" s="109"/>
      <c r="DQ26" s="109"/>
      <c r="DR26" s="109"/>
      <c r="DS26" s="109"/>
      <c r="DT26" s="109"/>
      <c r="DX26" s="108"/>
      <c r="DY26" s="108"/>
      <c r="DZ26" s="109"/>
      <c r="EA26" s="109"/>
      <c r="EB26" s="109"/>
      <c r="EC26" s="109"/>
      <c r="ED26" s="109"/>
      <c r="EE26" s="109"/>
      <c r="EF26" s="109"/>
      <c r="EG26" s="109"/>
      <c r="EH26" s="109"/>
      <c r="EL26" s="108"/>
      <c r="EM26" s="108"/>
      <c r="EN26" s="109"/>
      <c r="EO26" s="109"/>
      <c r="EP26" s="109"/>
      <c r="EQ26" s="109"/>
      <c r="ER26" s="109"/>
      <c r="ES26" s="109"/>
      <c r="ET26" s="109"/>
      <c r="EU26" s="109"/>
      <c r="EV26" s="109"/>
      <c r="EZ26" s="108"/>
      <c r="FA26" s="108"/>
      <c r="FB26" s="109"/>
      <c r="FC26" s="109"/>
      <c r="FD26" s="109"/>
      <c r="FE26" s="109"/>
      <c r="FF26" s="109"/>
      <c r="FG26" s="109"/>
      <c r="FH26" s="109"/>
      <c r="FI26" s="109"/>
      <c r="FJ26" s="109"/>
      <c r="FN26" s="108"/>
      <c r="FO26" s="108"/>
      <c r="FP26" s="109"/>
      <c r="FQ26" s="109"/>
      <c r="FR26" s="109"/>
      <c r="FS26" s="109"/>
      <c r="FT26" s="109"/>
      <c r="FU26" s="109"/>
      <c r="FV26" s="109"/>
      <c r="FW26" s="109"/>
      <c r="FX26" s="109"/>
      <c r="GB26" s="108"/>
      <c r="GC26" s="108"/>
      <c r="GD26" s="109"/>
      <c r="GE26" s="109"/>
      <c r="GF26" s="109"/>
      <c r="GG26" s="109"/>
      <c r="GH26" s="109"/>
      <c r="GI26" s="109"/>
      <c r="GJ26" s="109"/>
      <c r="GK26" s="109"/>
      <c r="GL26" s="109"/>
      <c r="GP26" s="108"/>
      <c r="GQ26" s="108"/>
      <c r="GR26" s="109"/>
      <c r="GS26" s="109"/>
      <c r="GT26" s="109"/>
      <c r="GU26" s="109"/>
      <c r="GV26" s="109"/>
      <c r="GW26" s="109"/>
      <c r="GX26" s="109"/>
      <c r="GY26" s="109"/>
      <c r="GZ26" s="109"/>
      <c r="HD26" s="108"/>
      <c r="HE26" s="108"/>
      <c r="HF26" s="109"/>
      <c r="HG26" s="109"/>
      <c r="HH26" s="109"/>
      <c r="HI26" s="109"/>
      <c r="HJ26" s="109"/>
      <c r="HK26" s="109"/>
      <c r="HL26" s="109"/>
      <c r="HM26" s="109"/>
      <c r="HN26" s="109"/>
      <c r="HR26" s="108"/>
      <c r="HS26" s="108"/>
      <c r="HT26" s="109"/>
      <c r="HU26" s="109"/>
      <c r="HV26" s="109"/>
      <c r="HW26" s="109"/>
      <c r="HX26" s="109"/>
      <c r="HY26" s="109"/>
      <c r="HZ26" s="109"/>
      <c r="IA26" s="109"/>
      <c r="IB26" s="109"/>
      <c r="IF26" s="108"/>
      <c r="IG26" s="108"/>
      <c r="IH26" s="109"/>
      <c r="II26" s="109"/>
      <c r="IJ26" s="109"/>
      <c r="IK26" s="109"/>
      <c r="IL26" s="109"/>
      <c r="IM26" s="109"/>
      <c r="IN26" s="109"/>
      <c r="IO26" s="109"/>
      <c r="IP26" s="109"/>
      <c r="IT26" s="108"/>
      <c r="IU26" s="108"/>
      <c r="IV26" s="109"/>
      <c r="IW26" s="109"/>
      <c r="IX26" s="109"/>
      <c r="IY26" s="109"/>
      <c r="IZ26" s="109"/>
      <c r="JA26" s="109"/>
      <c r="JB26" s="109"/>
      <c r="JC26" s="109"/>
      <c r="JD26" s="109"/>
      <c r="JH26" s="108"/>
      <c r="JI26" s="108"/>
      <c r="JJ26" s="109"/>
      <c r="JK26" s="109"/>
      <c r="JL26" s="109"/>
      <c r="JM26" s="109"/>
      <c r="JN26" s="109"/>
      <c r="JO26" s="109"/>
      <c r="JP26" s="109"/>
      <c r="JQ26" s="109"/>
      <c r="JR26" s="109"/>
      <c r="JV26" s="108"/>
      <c r="JW26" s="108"/>
      <c r="JX26" s="109"/>
      <c r="JY26" s="109"/>
      <c r="JZ26" s="109"/>
      <c r="KA26" s="109"/>
      <c r="KB26" s="109"/>
      <c r="KC26" s="109"/>
      <c r="KD26" s="109"/>
      <c r="KE26" s="109"/>
      <c r="KF26" s="109"/>
      <c r="KJ26" s="108"/>
      <c r="KK26" s="108"/>
      <c r="KL26" s="109"/>
      <c r="KM26" s="109"/>
      <c r="KN26" s="109"/>
      <c r="KO26" s="109"/>
      <c r="KP26" s="109"/>
      <c r="KQ26" s="109"/>
      <c r="KR26" s="109"/>
      <c r="KS26" s="109"/>
      <c r="KT26" s="109"/>
      <c r="KX26" s="108"/>
      <c r="KY26" s="108"/>
      <c r="KZ26" s="109"/>
      <c r="LA26" s="109"/>
      <c r="LB26" s="109"/>
      <c r="LC26" s="109"/>
      <c r="LD26" s="109"/>
      <c r="LE26" s="109"/>
      <c r="LF26" s="109"/>
      <c r="LG26" s="109"/>
      <c r="LH26" s="109"/>
      <c r="LK26" s="108"/>
      <c r="LL26" s="108"/>
      <c r="LM26" s="109"/>
      <c r="LN26" s="109"/>
      <c r="LO26" s="109"/>
      <c r="LP26" s="109"/>
      <c r="LQ26" s="109"/>
      <c r="LR26" s="109"/>
      <c r="LS26" s="109"/>
      <c r="LT26" s="109"/>
      <c r="LU26" s="109"/>
      <c r="LV26" s="109"/>
      <c r="LX26" s="108"/>
      <c r="LY26" s="108"/>
      <c r="LZ26" s="109"/>
      <c r="MA26" s="109"/>
      <c r="MB26" s="109"/>
      <c r="MC26" s="109"/>
      <c r="MD26" s="109"/>
      <c r="ME26" s="109"/>
      <c r="MF26" s="109"/>
      <c r="MG26" s="109"/>
      <c r="MH26" s="109"/>
      <c r="ML26" s="108"/>
      <c r="MM26" s="108"/>
      <c r="MN26" s="109"/>
      <c r="MO26" s="109"/>
      <c r="MP26" s="109"/>
      <c r="MQ26" s="109"/>
      <c r="MR26" s="109"/>
      <c r="MS26" s="109"/>
      <c r="MT26" s="109"/>
      <c r="MU26" s="109"/>
      <c r="MV26" s="109"/>
      <c r="MZ26" s="108"/>
      <c r="NA26" s="108"/>
      <c r="NB26" s="109"/>
      <c r="NC26" s="109"/>
      <c r="ND26" s="109"/>
      <c r="NE26" s="109"/>
      <c r="NF26" s="109"/>
      <c r="NG26" s="109"/>
      <c r="NH26" s="109"/>
      <c r="NI26" s="109"/>
      <c r="NJ26" s="109"/>
      <c r="NM26" s="108"/>
      <c r="NN26" s="108"/>
      <c r="NO26" s="109"/>
      <c r="NP26" s="109"/>
      <c r="NQ26" s="109"/>
      <c r="NR26" s="109"/>
      <c r="NS26" s="109"/>
      <c r="NT26" s="109"/>
      <c r="NU26" s="109"/>
      <c r="NV26" s="109"/>
      <c r="NW26" s="109"/>
      <c r="NZ26" s="108"/>
      <c r="OA26" s="108"/>
      <c r="OB26" s="109"/>
      <c r="OC26" s="109"/>
      <c r="OD26" s="109"/>
      <c r="OE26" s="109"/>
      <c r="OF26" s="109"/>
      <c r="OG26" s="109"/>
      <c r="OH26" s="109"/>
      <c r="OI26" s="109"/>
      <c r="OJ26" s="109"/>
      <c r="OM26" s="108"/>
      <c r="ON26" s="108"/>
      <c r="OO26" s="109"/>
      <c r="OP26" s="109"/>
      <c r="OQ26" s="109"/>
      <c r="OR26" s="109"/>
      <c r="OS26" s="109"/>
      <c r="OT26" s="109"/>
      <c r="OU26" s="109"/>
      <c r="OV26" s="109"/>
      <c r="OW26" s="109"/>
      <c r="OZ26" s="108"/>
      <c r="PA26" s="108"/>
      <c r="PB26" s="109"/>
      <c r="PC26" s="109"/>
      <c r="PD26" s="109"/>
      <c r="PE26" s="109"/>
      <c r="PF26" s="109"/>
      <c r="PG26" s="109"/>
      <c r="PH26" s="109"/>
      <c r="PI26" s="109"/>
      <c r="PJ26" s="109"/>
      <c r="PM26" s="108"/>
      <c r="PN26" s="108"/>
      <c r="PO26" s="109"/>
      <c r="PP26" s="109"/>
      <c r="PQ26" s="109"/>
      <c r="PR26" s="109"/>
      <c r="PS26" s="109"/>
      <c r="PT26" s="109"/>
      <c r="PU26" s="109"/>
      <c r="PV26" s="109"/>
      <c r="PW26" s="109"/>
      <c r="PZ26" s="108"/>
      <c r="QA26" s="108"/>
      <c r="QB26" s="109"/>
      <c r="QC26" s="109"/>
      <c r="QD26" s="109"/>
      <c r="QE26" s="109"/>
      <c r="QF26" s="109"/>
      <c r="QG26" s="109"/>
      <c r="QH26" s="109"/>
      <c r="QI26" s="109"/>
      <c r="QJ26" s="109"/>
      <c r="QM26" s="108"/>
      <c r="QN26" s="108"/>
      <c r="QO26" s="109"/>
      <c r="QP26" s="109"/>
      <c r="QQ26" s="109"/>
      <c r="QR26" s="109"/>
      <c r="QS26" s="109"/>
      <c r="QT26" s="109"/>
      <c r="QU26" s="109"/>
      <c r="QV26" s="109"/>
      <c r="QW26" s="109"/>
      <c r="QZ26" s="108"/>
      <c r="RA26" s="108"/>
      <c r="RB26" s="109"/>
      <c r="RC26" s="109"/>
      <c r="RD26" s="109"/>
      <c r="RE26" s="109"/>
      <c r="RF26" s="109"/>
      <c r="RG26" s="109"/>
      <c r="RH26" s="109"/>
      <c r="RI26" s="109"/>
      <c r="RJ26" s="109"/>
      <c r="RM26" s="108"/>
      <c r="RN26" s="108"/>
      <c r="RO26" s="109"/>
      <c r="RP26" s="109"/>
      <c r="RQ26" s="109"/>
      <c r="RR26" s="109"/>
      <c r="RS26" s="109"/>
      <c r="RT26" s="109"/>
      <c r="RU26" s="109"/>
      <c r="RV26" s="109"/>
      <c r="RW26" s="109"/>
      <c r="RZ26" s="108"/>
      <c r="SA26" s="108"/>
      <c r="SB26" s="109"/>
      <c r="SC26" s="109"/>
      <c r="SD26" s="109"/>
      <c r="SE26" s="109"/>
      <c r="SF26" s="109"/>
      <c r="SG26" s="109"/>
      <c r="SH26" s="109"/>
      <c r="SI26" s="109"/>
      <c r="SJ26" s="109"/>
      <c r="SM26" s="108"/>
      <c r="SN26" s="108"/>
      <c r="SO26" s="109"/>
      <c r="SP26" s="109"/>
      <c r="SQ26" s="109"/>
      <c r="SR26" s="109"/>
      <c r="SS26" s="109"/>
      <c r="ST26" s="109"/>
      <c r="SU26" s="109"/>
      <c r="SV26" s="109"/>
      <c r="SW26" s="109"/>
      <c r="SZ26" s="108"/>
      <c r="TA26" s="108"/>
      <c r="TB26" s="109"/>
      <c r="TC26" s="109"/>
      <c r="TD26" s="109"/>
      <c r="TE26" s="109"/>
      <c r="TF26" s="109"/>
      <c r="TG26" s="109"/>
      <c r="TH26" s="109"/>
      <c r="TI26" s="109"/>
      <c r="TJ26" s="109"/>
      <c r="TM26" s="108"/>
      <c r="TN26" s="108"/>
      <c r="TO26" s="109"/>
      <c r="TP26" s="109"/>
      <c r="TQ26" s="109"/>
      <c r="TR26" s="109"/>
      <c r="TS26" s="109"/>
      <c r="TT26" s="109"/>
      <c r="TU26" s="109"/>
      <c r="TV26" s="109"/>
      <c r="TW26" s="109"/>
      <c r="TZ26" s="108"/>
      <c r="UA26" s="108"/>
      <c r="UB26" s="109"/>
      <c r="UC26" s="109"/>
      <c r="UD26" s="109"/>
      <c r="UE26" s="109"/>
      <c r="UF26" s="109"/>
      <c r="UG26" s="109"/>
      <c r="UH26" s="109"/>
      <c r="UI26" s="109"/>
      <c r="UJ26" s="109"/>
      <c r="UM26" s="108"/>
      <c r="UN26" s="108"/>
      <c r="UO26" s="109"/>
      <c r="UP26" s="109"/>
      <c r="UQ26" s="109"/>
      <c r="UR26" s="109"/>
      <c r="US26" s="109"/>
      <c r="UT26" s="109"/>
      <c r="UU26" s="109"/>
      <c r="UV26" s="109"/>
      <c r="UW26" s="109"/>
      <c r="UZ26" s="108"/>
      <c r="VA26" s="108"/>
      <c r="VB26" s="109"/>
      <c r="VC26" s="109"/>
      <c r="VD26" s="109"/>
      <c r="VE26" s="109"/>
      <c r="VF26" s="109"/>
      <c r="VG26" s="109"/>
      <c r="VH26" s="109"/>
      <c r="VI26" s="109"/>
      <c r="VJ26" s="109"/>
      <c r="VM26" s="108"/>
      <c r="VN26" s="108"/>
      <c r="VO26" s="109"/>
      <c r="VP26" s="109"/>
      <c r="VQ26" s="109"/>
      <c r="VR26" s="109"/>
      <c r="VS26" s="109"/>
      <c r="VT26" s="109"/>
      <c r="VU26" s="109"/>
      <c r="VV26" s="109"/>
      <c r="VW26" s="109"/>
      <c r="VZ26" s="108"/>
      <c r="WA26" s="108"/>
      <c r="WB26" s="109"/>
      <c r="WC26" s="109"/>
      <c r="WD26" s="109"/>
      <c r="WE26" s="109"/>
      <c r="WF26" s="109"/>
      <c r="WG26" s="109"/>
      <c r="WH26" s="109"/>
      <c r="WI26" s="109"/>
      <c r="WJ26" s="109"/>
      <c r="WM26" s="108"/>
      <c r="WN26" s="108"/>
      <c r="WO26" s="109"/>
      <c r="WP26" s="109"/>
      <c r="WQ26" s="109"/>
      <c r="WR26" s="109"/>
      <c r="WS26" s="109"/>
      <c r="WT26" s="109"/>
      <c r="WU26" s="109"/>
      <c r="WV26" s="109"/>
      <c r="WW26" s="109"/>
      <c r="WZ26" s="108"/>
      <c r="XA26" s="108"/>
      <c r="XB26" s="109"/>
      <c r="XC26" s="109"/>
      <c r="XD26" s="109"/>
      <c r="XE26" s="109"/>
      <c r="XF26" s="109"/>
      <c r="XG26" s="109"/>
      <c r="XH26" s="109"/>
      <c r="XI26" s="109"/>
      <c r="XJ26" s="109"/>
      <c r="XM26" s="108"/>
      <c r="XN26" s="108"/>
      <c r="XO26" s="109"/>
      <c r="XP26" s="109"/>
      <c r="XQ26" s="109"/>
      <c r="XR26" s="109"/>
      <c r="XS26" s="109"/>
      <c r="XT26" s="109"/>
      <c r="XU26" s="109"/>
      <c r="XV26" s="109"/>
      <c r="XW26" s="109"/>
      <c r="XZ26" s="108"/>
      <c r="YA26" s="108"/>
      <c r="YB26" s="109"/>
      <c r="YC26" s="109"/>
      <c r="YD26" s="109"/>
      <c r="YE26" s="109"/>
      <c r="YF26" s="109"/>
      <c r="YG26" s="109"/>
      <c r="YH26" s="109"/>
      <c r="YI26" s="109"/>
      <c r="YJ26" s="109"/>
    </row>
    <row r="27" spans="1:660">
      <c r="OK27" s="66"/>
      <c r="OX27" s="66"/>
      <c r="PK27" s="66"/>
      <c r="PX27" s="66"/>
      <c r="QK27" s="66"/>
      <c r="QX27" s="66"/>
      <c r="RK27" s="66"/>
      <c r="RX27" s="66"/>
      <c r="SK27" s="66"/>
      <c r="SX27" s="66"/>
      <c r="TK27" s="66"/>
      <c r="TX27" s="66"/>
      <c r="UK27" s="66"/>
      <c r="UL27" s="66"/>
      <c r="UX27" s="66"/>
      <c r="UY27" s="66"/>
      <c r="VK27" s="66"/>
      <c r="VX27" s="66"/>
      <c r="WK27" s="66"/>
      <c r="WL27" s="66"/>
      <c r="WX27" s="43"/>
      <c r="WY27" s="66"/>
      <c r="XK27" s="43"/>
      <c r="XX27" s="66"/>
    </row>
    <row r="28" spans="1:660" ht="13">
      <c r="A28" s="111"/>
      <c r="B28" s="204" t="str">
        <f>"Segmenty operacyjne za okres 3m-cy zakończonych "&amp;RIGHT(B2,10)</f>
        <v>Segmenty operacyjne za okres 3m-cy zakończonych 30.09.2025</v>
      </c>
      <c r="C28" s="204"/>
      <c r="D28" s="204"/>
      <c r="E28" s="204"/>
      <c r="F28" s="204"/>
      <c r="G28" s="204"/>
      <c r="H28" s="204"/>
      <c r="I28" s="204"/>
      <c r="J28" s="204"/>
      <c r="K28" s="204"/>
      <c r="L28" s="204"/>
      <c r="O28" s="111"/>
      <c r="P28" s="204" t="str">
        <f>"Segmenty operacyjne za okres 3m-cy zakończonych "&amp;RIGHT(P2,10)</f>
        <v>Segmenty operacyjne za okres 3m-cy zakończonych 30.06.2025</v>
      </c>
      <c r="Q28" s="204"/>
      <c r="R28" s="204"/>
      <c r="S28" s="204"/>
      <c r="T28" s="204"/>
      <c r="U28" s="204"/>
      <c r="V28" s="204"/>
      <c r="W28" s="204"/>
      <c r="X28" s="204"/>
      <c r="Y28" s="204"/>
      <c r="Z28" s="204"/>
      <c r="AC28" s="111"/>
      <c r="AD28" s="204" t="str">
        <f>"Segmenty operacyjne za okres 3m-cy zakończonych "&amp;RIGHT(AD2,10)</f>
        <v>Segmenty operacyjne za okres 3m-cy zakończonych 31.03.2025</v>
      </c>
      <c r="AE28" s="204"/>
      <c r="AF28" s="204"/>
      <c r="AG28" s="204"/>
      <c r="AH28" s="204"/>
      <c r="AI28" s="204"/>
      <c r="AJ28" s="204"/>
      <c r="AK28" s="204"/>
      <c r="AL28" s="204"/>
      <c r="AM28" s="204"/>
      <c r="AN28" s="204"/>
      <c r="AQ28" s="111"/>
      <c r="AR28" s="204" t="str">
        <f>"Segmenty operacyjne za okres 3m-cy zakończonych "&amp;RIGHT(AR2,10)</f>
        <v>Segmenty operacyjne za okres 3m-cy zakończonych 31.12.2024</v>
      </c>
      <c r="AS28" s="204"/>
      <c r="AT28" s="204"/>
      <c r="AU28" s="204"/>
      <c r="AV28" s="204"/>
      <c r="AW28" s="204"/>
      <c r="AX28" s="204"/>
      <c r="AY28" s="204"/>
      <c r="AZ28" s="204"/>
      <c r="BA28" s="204"/>
      <c r="BB28" s="204"/>
      <c r="BE28" s="111"/>
      <c r="BF28" s="204" t="str">
        <f>"Segmenty operacyjne za okres 3m-cy zakończonych "&amp;RIGHT(BF2,10)</f>
        <v>Segmenty operacyjne za okres 3m-cy zakończonych 30.09.2024</v>
      </c>
      <c r="BG28" s="204"/>
      <c r="BH28" s="204"/>
      <c r="BI28" s="204"/>
      <c r="BJ28" s="204"/>
      <c r="BK28" s="204"/>
      <c r="BL28" s="204"/>
      <c r="BM28" s="204"/>
      <c r="BN28" s="204"/>
      <c r="BO28" s="204"/>
      <c r="BP28" s="204"/>
      <c r="BS28" s="111"/>
      <c r="BT28" s="204" t="str">
        <f>"Segmenty operacyjne za okres 3m-cy zakończonych "&amp;RIGHT(BT2,10)</f>
        <v>Segmenty operacyjne za okres 3m-cy zakończonych 30.06.2024</v>
      </c>
      <c r="BU28" s="204"/>
      <c r="BV28" s="204"/>
      <c r="BW28" s="204"/>
      <c r="BX28" s="204"/>
      <c r="BY28" s="204"/>
      <c r="BZ28" s="204"/>
      <c r="CA28" s="204"/>
      <c r="CB28" s="204"/>
      <c r="CC28" s="204"/>
      <c r="CD28" s="204"/>
      <c r="CG28" s="111"/>
      <c r="CH28" s="204" t="str">
        <f>"Segmenty operacyjne za okres 3m-cy zakończonych "&amp;RIGHT(CH2,10)</f>
        <v>Segmenty operacyjne za okres 3m-cy zakończonych 31.03.2024</v>
      </c>
      <c r="CI28" s="204"/>
      <c r="CJ28" s="204"/>
      <c r="CK28" s="204"/>
      <c r="CL28" s="204"/>
      <c r="CM28" s="204"/>
      <c r="CN28" s="204"/>
      <c r="CO28" s="204"/>
      <c r="CP28" s="204"/>
      <c r="CQ28" s="204"/>
      <c r="CR28" s="204"/>
      <c r="CU28" s="111"/>
      <c r="CV28" s="204" t="str">
        <f>"Segmenty operacyjne za okres 3m-cy zakończonych "&amp;RIGHT(CV2,10)</f>
        <v>Segmenty operacyjne za okres 3m-cy zakończonych 31.12.2023</v>
      </c>
      <c r="CW28" s="204"/>
      <c r="CX28" s="204"/>
      <c r="CY28" s="204"/>
      <c r="CZ28" s="204"/>
      <c r="DA28" s="204"/>
      <c r="DB28" s="204"/>
      <c r="DC28" s="204"/>
      <c r="DD28" s="204"/>
      <c r="DE28" s="204"/>
      <c r="DF28" s="204"/>
      <c r="DI28" s="111"/>
      <c r="DJ28" s="204" t="str">
        <f>"Segmenty operacyjne za okres 3m-cy zakończonych "&amp;RIGHT(DJ2,10)</f>
        <v>Segmenty operacyjne za okres 3m-cy zakończonych 30.09.2023</v>
      </c>
      <c r="DK28" s="204"/>
      <c r="DL28" s="204"/>
      <c r="DM28" s="204"/>
      <c r="DN28" s="204"/>
      <c r="DO28" s="204"/>
      <c r="DP28" s="204"/>
      <c r="DQ28" s="204"/>
      <c r="DR28" s="204"/>
      <c r="DS28" s="204"/>
      <c r="DT28" s="204"/>
      <c r="DW28" s="111"/>
      <c r="DX28" s="204" t="str">
        <f>"Segmenty operacyjne za okres 3m-cy zakończonych "&amp;RIGHT(DX2,10)</f>
        <v>Segmenty operacyjne za okres 3m-cy zakończonych 30.06.2023</v>
      </c>
      <c r="DY28" s="204"/>
      <c r="DZ28" s="204"/>
      <c r="EA28" s="204"/>
      <c r="EB28" s="204"/>
      <c r="EC28" s="204"/>
      <c r="ED28" s="204"/>
      <c r="EE28" s="204"/>
      <c r="EF28" s="204"/>
      <c r="EG28" s="204"/>
      <c r="EH28" s="204"/>
      <c r="EK28" s="111"/>
      <c r="EL28" s="204" t="str">
        <f>"Segmenty operacyjne za okres 3m-cy zakończonych "&amp;RIGHT(EL2,10)</f>
        <v>Segmenty operacyjne za okres 3m-cy zakończonych 31.03.2023</v>
      </c>
      <c r="EM28" s="204"/>
      <c r="EN28" s="204"/>
      <c r="EO28" s="204"/>
      <c r="EP28" s="204"/>
      <c r="EQ28" s="204"/>
      <c r="ER28" s="204"/>
      <c r="ES28" s="204"/>
      <c r="ET28" s="204"/>
      <c r="EU28" s="204"/>
      <c r="EV28" s="204"/>
      <c r="EY28" s="111"/>
      <c r="EZ28" s="204" t="str">
        <f>"Segmenty operacyjne za okres 3m-cy zakończonych "&amp;RIGHT(EZ2,10)</f>
        <v>Segmenty operacyjne za okres 3m-cy zakończonych 31.12.2022</v>
      </c>
      <c r="FA28" s="204"/>
      <c r="FB28" s="204"/>
      <c r="FC28" s="204"/>
      <c r="FD28" s="204"/>
      <c r="FE28" s="204"/>
      <c r="FF28" s="204"/>
      <c r="FG28" s="204"/>
      <c r="FH28" s="204"/>
      <c r="FI28" s="204"/>
      <c r="FJ28" s="204"/>
      <c r="FM28" s="111"/>
      <c r="FN28" s="204" t="str">
        <f>"Segmenty operacyjne za okres 3m-cy zakończonych "&amp;RIGHT(FN2,10)</f>
        <v>Segmenty operacyjne za okres 3m-cy zakończonych 30.09.2022</v>
      </c>
      <c r="FO28" s="204"/>
      <c r="FP28" s="204"/>
      <c r="FQ28" s="204"/>
      <c r="FR28" s="204"/>
      <c r="FS28" s="204"/>
      <c r="FT28" s="204"/>
      <c r="FU28" s="204"/>
      <c r="FV28" s="204"/>
      <c r="FW28" s="204"/>
      <c r="FX28" s="204"/>
      <c r="GA28" s="111"/>
      <c r="GB28" s="204" t="str">
        <f>"Segmenty operacyjne za okres 3m-cy zakończonych "&amp;RIGHT(GB2,10)</f>
        <v>Segmenty operacyjne za okres 3m-cy zakończonych 30.06.2022</v>
      </c>
      <c r="GC28" s="204"/>
      <c r="GD28" s="204"/>
      <c r="GE28" s="204"/>
      <c r="GF28" s="204"/>
      <c r="GG28" s="204"/>
      <c r="GH28" s="204"/>
      <c r="GI28" s="204"/>
      <c r="GJ28" s="204"/>
      <c r="GK28" s="204"/>
      <c r="GL28" s="204"/>
      <c r="GO28" s="111"/>
      <c r="GP28" s="204" t="str">
        <f>"Segmenty operacyjne za okres 3m-cy zakończonych "&amp;RIGHT(GP2,10)</f>
        <v>Segmenty operacyjne za okres 3m-cy zakończonych 31.03.2022</v>
      </c>
      <c r="GQ28" s="204"/>
      <c r="GR28" s="204"/>
      <c r="GS28" s="204"/>
      <c r="GT28" s="204"/>
      <c r="GU28" s="204"/>
      <c r="GV28" s="204"/>
      <c r="GW28" s="204"/>
      <c r="GX28" s="204"/>
      <c r="GY28" s="204"/>
      <c r="GZ28" s="204"/>
      <c r="HC28" s="111"/>
      <c r="HD28" s="204" t="str">
        <f>"Segmenty operacyjne za okres 3m-cy zakończonych "&amp;RIGHT(HD2,10)</f>
        <v>Segmenty operacyjne za okres 3m-cy zakończonych 31.12.2021</v>
      </c>
      <c r="HE28" s="204"/>
      <c r="HF28" s="204"/>
      <c r="HG28" s="204"/>
      <c r="HH28" s="204"/>
      <c r="HI28" s="204"/>
      <c r="HJ28" s="204"/>
      <c r="HK28" s="204"/>
      <c r="HL28" s="204"/>
      <c r="HM28" s="204"/>
      <c r="HN28" s="204"/>
      <c r="HQ28" s="111"/>
      <c r="HR28" s="204" t="str">
        <f>"Segmenty operacyjne za okres 3m-cy zakończonych "&amp;RIGHT(HR2,10)</f>
        <v>Segmenty operacyjne za okres 3m-cy zakończonych 30.09.2021</v>
      </c>
      <c r="HS28" s="204"/>
      <c r="HT28" s="204"/>
      <c r="HU28" s="204"/>
      <c r="HV28" s="204"/>
      <c r="HW28" s="204"/>
      <c r="HX28" s="204"/>
      <c r="HY28" s="204"/>
      <c r="HZ28" s="204"/>
      <c r="IA28" s="204"/>
      <c r="IB28" s="204"/>
      <c r="IE28" s="111"/>
      <c r="IF28" s="204" t="str">
        <f>"Segmenty operacyjne za okres 3m-cy zakończonych "&amp;RIGHT(IF2,10)</f>
        <v>Segmenty operacyjne za okres 3m-cy zakończonych 30.06.2021</v>
      </c>
      <c r="IG28" s="204"/>
      <c r="IH28" s="204"/>
      <c r="II28" s="204"/>
      <c r="IJ28" s="204"/>
      <c r="IK28" s="204"/>
      <c r="IL28" s="204"/>
      <c r="IM28" s="204"/>
      <c r="IN28" s="204"/>
      <c r="IO28" s="204"/>
      <c r="IP28" s="204"/>
      <c r="IS28" s="111"/>
      <c r="IT28" s="204" t="str">
        <f>"Segmenty operacyjne za okres 3m-cy zakończonych "&amp;RIGHT(IT2,10)</f>
        <v>Segmenty operacyjne za okres 3m-cy zakończonych 31.03.2021</v>
      </c>
      <c r="IU28" s="204"/>
      <c r="IV28" s="204"/>
      <c r="IW28" s="204"/>
      <c r="IX28" s="204"/>
      <c r="IY28" s="204"/>
      <c r="IZ28" s="204"/>
      <c r="JA28" s="204"/>
      <c r="JB28" s="204"/>
      <c r="JC28" s="204"/>
      <c r="JD28" s="204"/>
      <c r="JG28" s="111"/>
      <c r="JH28" s="204" t="str">
        <f>"Segmenty operacyjne za okres 3m-cy zakończonych "&amp;RIGHT(JH2,10)</f>
        <v>Segmenty operacyjne za okres 3m-cy zakończonych 31.12.2020</v>
      </c>
      <c r="JI28" s="204"/>
      <c r="JJ28" s="204"/>
      <c r="JK28" s="204"/>
      <c r="JL28" s="204"/>
      <c r="JM28" s="204"/>
      <c r="JN28" s="204"/>
      <c r="JO28" s="204"/>
      <c r="JP28" s="204"/>
      <c r="JQ28" s="204"/>
      <c r="JR28" s="204"/>
      <c r="JU28" s="111"/>
      <c r="JV28" s="204" t="str">
        <f>"Segmenty operacyjne za okres 3m-cy zakończonych "&amp;RIGHT(JV2,10)</f>
        <v>Segmenty operacyjne za okres 3m-cy zakończonych 30.09.2020</v>
      </c>
      <c r="JW28" s="204"/>
      <c r="JX28" s="204"/>
      <c r="JY28" s="204"/>
      <c r="JZ28" s="204"/>
      <c r="KA28" s="204"/>
      <c r="KB28" s="204"/>
      <c r="KC28" s="204"/>
      <c r="KD28" s="204"/>
      <c r="KE28" s="204"/>
      <c r="KF28" s="204"/>
      <c r="KI28" s="111"/>
      <c r="KJ28" s="204" t="str">
        <f>"Segmenty operacyjne za okres 3m-cy zakończonych "&amp;RIGHT(KJ2,10)</f>
        <v>Segmenty operacyjne za okres 3m-cy zakończonych 30.06.2020</v>
      </c>
      <c r="KK28" s="204"/>
      <c r="KL28" s="204"/>
      <c r="KM28" s="204"/>
      <c r="KN28" s="204"/>
      <c r="KO28" s="204"/>
      <c r="KP28" s="204"/>
      <c r="KQ28" s="204"/>
      <c r="KR28" s="204"/>
      <c r="KS28" s="204"/>
      <c r="KT28" s="204"/>
      <c r="KW28" s="111"/>
      <c r="KX28" s="204" t="str">
        <f>"Segmenty operacyjne za okres 3m-cy zakończonych "&amp;RIGHT(KX2,10)</f>
        <v>Segmenty operacyjne za okres 3m-cy zakończonych 31.03.2020</v>
      </c>
      <c r="KY28" s="204"/>
      <c r="KZ28" s="204"/>
      <c r="LA28" s="204"/>
      <c r="LB28" s="204"/>
      <c r="LC28" s="204"/>
      <c r="LD28" s="204"/>
      <c r="LE28" s="204"/>
      <c r="LF28" s="204"/>
      <c r="LG28" s="204"/>
      <c r="LH28" s="204"/>
      <c r="LJ28" s="111"/>
      <c r="LK28" s="204" t="str">
        <f>"Segmenty operacyjne za okres 3m-cy zakończonych "&amp;RIGHT(LK2,10)</f>
        <v>Segmenty operacyjne za okres 3m-cy zakończonych 31.12.2019</v>
      </c>
      <c r="LL28" s="204"/>
      <c r="LM28" s="204"/>
      <c r="LN28" s="204"/>
      <c r="LO28" s="204"/>
      <c r="LP28" s="205"/>
      <c r="LQ28" s="204"/>
      <c r="LR28" s="204"/>
      <c r="LS28" s="204"/>
      <c r="LT28" s="204"/>
      <c r="LU28" s="204"/>
      <c r="LV28" s="170"/>
      <c r="LW28" s="111"/>
      <c r="LX28" s="204" t="str">
        <f>"Segmenty operacyjne za okres 3m-cy zakończonych "&amp;RIGHT(LX2,10)</f>
        <v>Segmenty operacyjne za okres 3m-cy zakończonych 30.09.2019</v>
      </c>
      <c r="LY28" s="204"/>
      <c r="LZ28" s="204"/>
      <c r="MA28" s="204"/>
      <c r="MB28" s="204"/>
      <c r="MC28" s="204"/>
      <c r="MD28" s="204"/>
      <c r="ME28" s="204"/>
      <c r="MF28" s="204"/>
      <c r="MG28" s="204"/>
      <c r="MH28" s="204"/>
      <c r="MK28" s="111"/>
      <c r="ML28" s="204" t="str">
        <f>"Segmenty operacyjne za okres 3m-cy zakończonych "&amp;RIGHT(ML2,10)</f>
        <v>Segmenty operacyjne za okres 3m-cy zakończonych 30.06.2019</v>
      </c>
      <c r="MM28" s="204"/>
      <c r="MN28" s="204"/>
      <c r="MO28" s="204"/>
      <c r="MP28" s="204"/>
      <c r="MQ28" s="204"/>
      <c r="MR28" s="204"/>
      <c r="MS28" s="204"/>
      <c r="MT28" s="204"/>
      <c r="MU28" s="204"/>
      <c r="MV28" s="204"/>
      <c r="MY28" s="111"/>
      <c r="MZ28" s="204" t="str">
        <f>"Segmenty operacyjne za okres 3m-cy zakończonych "&amp;RIGHT(MZ2,10)</f>
        <v>Segmenty operacyjne za okres 3m-cy zakończonych 31.03.2019</v>
      </c>
      <c r="NA28" s="204"/>
      <c r="NB28" s="204"/>
      <c r="NC28" s="204"/>
      <c r="ND28" s="204"/>
      <c r="NE28" s="204"/>
      <c r="NF28" s="204"/>
      <c r="NG28" s="204"/>
      <c r="NH28" s="204"/>
      <c r="NI28" s="204"/>
      <c r="NJ28" s="204"/>
      <c r="NL28" s="111"/>
      <c r="NM28" s="204" t="str">
        <f>"Segmenty operacyjne za okres 3m-cy zakończonych "&amp;RIGHT(NM2,10)</f>
        <v>Segmenty operacyjne za okres 3m-cy zakończonych 31.12.2018</v>
      </c>
      <c r="NN28" s="204"/>
      <c r="NO28" s="204"/>
      <c r="NP28" s="204"/>
      <c r="NQ28" s="204"/>
      <c r="NR28" s="205"/>
      <c r="NS28" s="204"/>
      <c r="NT28" s="204"/>
      <c r="NU28" s="204"/>
      <c r="NV28" s="204"/>
      <c r="NW28" s="204"/>
      <c r="NY28" s="111"/>
      <c r="NZ28" s="204" t="str">
        <f>"Segmenty operacyjne za okres 3m-cy zakończonych "&amp;RIGHT(NZ2,10)</f>
        <v>Segmenty operacyjne za okres 3m-cy zakończonych 30.09.2018</v>
      </c>
      <c r="OA28" s="204"/>
      <c r="OB28" s="204"/>
      <c r="OC28" s="204"/>
      <c r="OD28" s="204"/>
      <c r="OE28" s="204"/>
      <c r="OF28" s="204"/>
      <c r="OG28" s="204"/>
      <c r="OH28" s="204"/>
      <c r="OI28" s="204"/>
      <c r="OJ28" s="204"/>
      <c r="OK28" s="70"/>
      <c r="OL28" s="111"/>
      <c r="OM28" s="204" t="str">
        <f>"Segmenty operacyjne za okres 3m-cy zakończonych "&amp;RIGHT(OM2,10)</f>
        <v>Segmenty operacyjne za okres 3m-cy zakończonych 30.06.2018</v>
      </c>
      <c r="ON28" s="204"/>
      <c r="OO28" s="204"/>
      <c r="OP28" s="204"/>
      <c r="OQ28" s="204"/>
      <c r="OR28" s="204"/>
      <c r="OS28" s="204"/>
      <c r="OT28" s="204"/>
      <c r="OU28" s="204"/>
      <c r="OV28" s="204"/>
      <c r="OW28" s="204"/>
      <c r="OX28" s="70"/>
      <c r="OY28" s="111"/>
      <c r="OZ28" s="204" t="str">
        <f>"Segmenty operacyjne za okres 3m-cy zakończonych "&amp;RIGHT(OZ2,10)</f>
        <v>Segmenty operacyjne za okres 3m-cy zakończonych 31.03.2018</v>
      </c>
      <c r="PA28" s="204"/>
      <c r="PB28" s="204"/>
      <c r="PC28" s="204"/>
      <c r="PD28" s="204"/>
      <c r="PE28" s="204"/>
      <c r="PF28" s="204"/>
      <c r="PG28" s="204"/>
      <c r="PH28" s="204"/>
      <c r="PI28" s="204"/>
      <c r="PJ28" s="204"/>
      <c r="PK28" s="70"/>
      <c r="PL28" s="111"/>
      <c r="PM28" s="204" t="str">
        <f>"Segmenty operacyjne za okres 3m-cy zakończonych "&amp;RIGHT(PM2,10)</f>
        <v>Segmenty operacyjne za okres 3m-cy zakończonych 31.12.2017</v>
      </c>
      <c r="PN28" s="204"/>
      <c r="PO28" s="204"/>
      <c r="PP28" s="204"/>
      <c r="PQ28" s="204"/>
      <c r="PR28" s="204"/>
      <c r="PS28" s="204"/>
      <c r="PT28" s="204"/>
      <c r="PU28" s="204"/>
      <c r="PV28" s="204"/>
      <c r="PW28" s="204"/>
      <c r="PX28" s="70"/>
      <c r="PY28" s="111"/>
      <c r="PZ28" s="204" t="str">
        <f>"Segmenty operacyjne za okres 3m-cy zakończonych "&amp;RIGHT(PZ2,10)</f>
        <v>Segmenty operacyjne za okres 3m-cy zakończonych 30.09.2017</v>
      </c>
      <c r="QA28" s="204"/>
      <c r="QB28" s="204"/>
      <c r="QC28" s="204"/>
      <c r="QD28" s="204"/>
      <c r="QE28" s="204"/>
      <c r="QF28" s="204"/>
      <c r="QG28" s="204"/>
      <c r="QH28" s="204"/>
      <c r="QI28" s="204"/>
      <c r="QJ28" s="204"/>
      <c r="QK28" s="70"/>
      <c r="QL28" s="111"/>
      <c r="QM28" s="204" t="str">
        <f>"Segmenty operacyjne za okres 3m-cy zakończonych "&amp;RIGHT(QM2,10)</f>
        <v>Segmenty operacyjne za okres 3m-cy zakończonych 30.06.2017</v>
      </c>
      <c r="QN28" s="204"/>
      <c r="QO28" s="204"/>
      <c r="QP28" s="204"/>
      <c r="QQ28" s="204"/>
      <c r="QR28" s="204"/>
      <c r="QS28" s="204"/>
      <c r="QT28" s="204"/>
      <c r="QU28" s="204"/>
      <c r="QV28" s="204"/>
      <c r="QW28" s="204"/>
      <c r="QX28" s="70"/>
      <c r="QY28" s="111"/>
      <c r="QZ28" s="204" t="str">
        <f>"Segmenty operacyjne za okres 3m-cy zakończonych "&amp;RIGHT(QZ2,10)</f>
        <v>Segmenty operacyjne za okres 3m-cy zakończonych 30.03.2017</v>
      </c>
      <c r="RA28" s="204"/>
      <c r="RB28" s="204"/>
      <c r="RC28" s="204"/>
      <c r="RD28" s="204"/>
      <c r="RE28" s="204"/>
      <c r="RF28" s="204"/>
      <c r="RG28" s="204"/>
      <c r="RH28" s="204"/>
      <c r="RI28" s="204"/>
      <c r="RJ28" s="204"/>
      <c r="RK28" s="70"/>
      <c r="RL28" s="111"/>
      <c r="RM28" s="204" t="s">
        <v>225</v>
      </c>
      <c r="RN28" s="204"/>
      <c r="RO28" s="204"/>
      <c r="RP28" s="204"/>
      <c r="RQ28" s="204"/>
      <c r="RR28" s="204"/>
      <c r="RS28" s="204"/>
      <c r="RT28" s="204"/>
      <c r="RU28" s="204"/>
      <c r="RV28" s="204"/>
      <c r="RW28" s="204"/>
      <c r="RX28" s="70"/>
      <c r="RY28" s="111"/>
      <c r="RZ28" s="204" t="s">
        <v>226</v>
      </c>
      <c r="SA28" s="204"/>
      <c r="SB28" s="204"/>
      <c r="SC28" s="204"/>
      <c r="SD28" s="204"/>
      <c r="SE28" s="204"/>
      <c r="SF28" s="204"/>
      <c r="SG28" s="204"/>
      <c r="SH28" s="204"/>
      <c r="SI28" s="204"/>
      <c r="SJ28" s="204"/>
      <c r="SK28" s="70"/>
      <c r="SL28" s="111"/>
      <c r="SM28" s="204" t="s">
        <v>227</v>
      </c>
      <c r="SN28" s="204"/>
      <c r="SO28" s="204"/>
      <c r="SP28" s="204"/>
      <c r="SQ28" s="204"/>
      <c r="SR28" s="204"/>
      <c r="SS28" s="204"/>
      <c r="ST28" s="204"/>
      <c r="SU28" s="204"/>
      <c r="SV28" s="204"/>
      <c r="SW28" s="204"/>
      <c r="SX28" s="70"/>
      <c r="SY28" s="111"/>
      <c r="SZ28" s="204" t="str">
        <f>SZ2</f>
        <v>Segmenty operacyjne za okres 3 m-cy zakończonych 31.03.2016</v>
      </c>
      <c r="TA28" s="204"/>
      <c r="TB28" s="204"/>
      <c r="TC28" s="204"/>
      <c r="TD28" s="204"/>
      <c r="TE28" s="204"/>
      <c r="TF28" s="204"/>
      <c r="TG28" s="204"/>
      <c r="TH28" s="204"/>
      <c r="TI28" s="204"/>
      <c r="TJ28" s="204"/>
      <c r="TK28" s="70"/>
      <c r="TL28" s="111"/>
      <c r="TM28" s="204" t="s">
        <v>214</v>
      </c>
      <c r="TN28" s="204"/>
      <c r="TO28" s="204"/>
      <c r="TP28" s="204"/>
      <c r="TQ28" s="204"/>
      <c r="TR28" s="204"/>
      <c r="TS28" s="204"/>
      <c r="TT28" s="204"/>
      <c r="TU28" s="204"/>
      <c r="TV28" s="204"/>
      <c r="TW28" s="204"/>
      <c r="TX28" s="70"/>
      <c r="TY28" s="111"/>
      <c r="TZ28" s="204" t="s">
        <v>203</v>
      </c>
      <c r="UA28" s="204"/>
      <c r="UB28" s="204"/>
      <c r="UC28" s="204"/>
      <c r="UD28" s="204"/>
      <c r="UE28" s="204"/>
      <c r="UF28" s="204"/>
      <c r="UG28" s="204"/>
      <c r="UH28" s="204"/>
      <c r="UI28" s="204"/>
      <c r="UJ28" s="204"/>
      <c r="UK28" s="70"/>
      <c r="UL28" s="111"/>
      <c r="UM28" s="204" t="s">
        <v>205</v>
      </c>
      <c r="UN28" s="204"/>
      <c r="UO28" s="204"/>
      <c r="UP28" s="204"/>
      <c r="UQ28" s="204"/>
      <c r="UR28" s="204"/>
      <c r="US28" s="204"/>
      <c r="UT28" s="204"/>
      <c r="UU28" s="204"/>
      <c r="UV28" s="204"/>
      <c r="UW28" s="204"/>
      <c r="UX28" s="70"/>
      <c r="UY28" s="111"/>
      <c r="UZ28" s="204" t="str">
        <f>UZ2</f>
        <v>Segmenty operacyjne za okres 3 m-cy zakończonych 31.03.2015</v>
      </c>
      <c r="VA28" s="204"/>
      <c r="VB28" s="204"/>
      <c r="VC28" s="204"/>
      <c r="VD28" s="204"/>
      <c r="VE28" s="204"/>
      <c r="VF28" s="204"/>
      <c r="VG28" s="204"/>
      <c r="VH28" s="204"/>
      <c r="VI28" s="204"/>
      <c r="VJ28" s="204"/>
      <c r="VK28" s="70"/>
      <c r="VL28" s="111"/>
      <c r="VM28" s="204" t="s">
        <v>216</v>
      </c>
      <c r="VN28" s="204"/>
      <c r="VO28" s="204"/>
      <c r="VP28" s="204"/>
      <c r="VQ28" s="204"/>
      <c r="VR28" s="204"/>
      <c r="VS28" s="204"/>
      <c r="VT28" s="204"/>
      <c r="VU28" s="204"/>
      <c r="VV28" s="204"/>
      <c r="VW28" s="204"/>
      <c r="VX28" s="70"/>
      <c r="VY28" s="111"/>
      <c r="VZ28" s="204" t="s">
        <v>206</v>
      </c>
      <c r="WA28" s="204"/>
      <c r="WB28" s="204"/>
      <c r="WC28" s="204"/>
      <c r="WD28" s="204"/>
      <c r="WE28" s="204"/>
      <c r="WF28" s="204"/>
      <c r="WG28" s="204"/>
      <c r="WH28" s="204"/>
      <c r="WI28" s="204"/>
      <c r="WJ28" s="204"/>
      <c r="WK28" s="70"/>
      <c r="WL28" s="111"/>
      <c r="WM28" s="204" t="s">
        <v>207</v>
      </c>
      <c r="WN28" s="204"/>
      <c r="WO28" s="204"/>
      <c r="WP28" s="204"/>
      <c r="WQ28" s="204"/>
      <c r="WR28" s="204"/>
      <c r="WS28" s="204"/>
      <c r="WT28" s="204"/>
      <c r="WU28" s="204"/>
      <c r="WV28" s="204"/>
      <c r="WW28" s="204"/>
      <c r="WX28" s="70"/>
      <c r="WY28" s="111"/>
      <c r="WZ28" s="204" t="str">
        <f>WZ2</f>
        <v xml:space="preserve">Segmenty operacyjne za okres 3 m-cy zakończonych 31.03.2014 </v>
      </c>
      <c r="XA28" s="204"/>
      <c r="XB28" s="204"/>
      <c r="XC28" s="204"/>
      <c r="XD28" s="204"/>
      <c r="XE28" s="204"/>
      <c r="XF28" s="204"/>
      <c r="XG28" s="204"/>
      <c r="XH28" s="204"/>
      <c r="XI28" s="204"/>
      <c r="XJ28" s="204"/>
      <c r="XK28" s="69"/>
      <c r="XL28" s="111"/>
      <c r="XM28" s="204" t="s">
        <v>208</v>
      </c>
      <c r="XN28" s="204"/>
      <c r="XO28" s="204"/>
      <c r="XP28" s="204"/>
      <c r="XQ28" s="204"/>
      <c r="XR28" s="204"/>
      <c r="XS28" s="204"/>
      <c r="XT28" s="204"/>
      <c r="XU28" s="204"/>
      <c r="XV28" s="204"/>
      <c r="XW28" s="204"/>
      <c r="XX28" s="70"/>
      <c r="XY28" s="111"/>
      <c r="XZ28" s="204"/>
      <c r="YA28" s="204"/>
      <c r="YB28" s="204"/>
      <c r="YC28" s="204"/>
      <c r="YD28" s="204"/>
      <c r="YE28" s="204"/>
      <c r="YF28" s="204"/>
      <c r="YG28" s="204"/>
      <c r="YH28" s="204"/>
      <c r="YI28" s="204"/>
      <c r="YJ28" s="204"/>
    </row>
    <row r="29" spans="1:660" ht="31.5">
      <c r="B29" s="46" t="s">
        <v>139</v>
      </c>
      <c r="D29" s="46" t="s">
        <v>140</v>
      </c>
      <c r="F29" s="165" t="s">
        <v>267</v>
      </c>
      <c r="H29" s="46" t="s">
        <v>142</v>
      </c>
      <c r="J29" s="46" t="s">
        <v>143</v>
      </c>
      <c r="L29" s="46" t="s">
        <v>300</v>
      </c>
      <c r="P29" s="46" t="s">
        <v>139</v>
      </c>
      <c r="R29" s="46" t="s">
        <v>140</v>
      </c>
      <c r="T29" s="165" t="s">
        <v>267</v>
      </c>
      <c r="V29" s="46" t="s">
        <v>142</v>
      </c>
      <c r="X29" s="46" t="s">
        <v>143</v>
      </c>
      <c r="Z29" s="46" t="s">
        <v>300</v>
      </c>
      <c r="AD29" s="46" t="s">
        <v>139</v>
      </c>
      <c r="AF29" s="46" t="s">
        <v>140</v>
      </c>
      <c r="AH29" s="165" t="s">
        <v>267</v>
      </c>
      <c r="AJ29" s="46" t="s">
        <v>142</v>
      </c>
      <c r="AL29" s="46" t="s">
        <v>143</v>
      </c>
      <c r="AN29" s="46" t="s">
        <v>300</v>
      </c>
      <c r="AR29" s="46" t="s">
        <v>139</v>
      </c>
      <c r="AT29" s="46" t="s">
        <v>140</v>
      </c>
      <c r="AV29" s="165" t="s">
        <v>267</v>
      </c>
      <c r="AX29" s="46" t="s">
        <v>142</v>
      </c>
      <c r="AZ29" s="46" t="s">
        <v>143</v>
      </c>
      <c r="BB29" s="46" t="s">
        <v>300</v>
      </c>
      <c r="BF29" s="46" t="s">
        <v>139</v>
      </c>
      <c r="BH29" s="46" t="s">
        <v>140</v>
      </c>
      <c r="BJ29" s="165" t="s">
        <v>267</v>
      </c>
      <c r="BL29" s="46" t="s">
        <v>142</v>
      </c>
      <c r="BN29" s="46" t="s">
        <v>143</v>
      </c>
      <c r="BP29" s="46" t="s">
        <v>300</v>
      </c>
      <c r="BT29" s="46" t="s">
        <v>139</v>
      </c>
      <c r="BV29" s="46" t="s">
        <v>140</v>
      </c>
      <c r="BX29" s="165" t="s">
        <v>267</v>
      </c>
      <c r="BZ29" s="46" t="s">
        <v>142</v>
      </c>
      <c r="CB29" s="46" t="s">
        <v>143</v>
      </c>
      <c r="CD29" s="46" t="s">
        <v>300</v>
      </c>
      <c r="CH29" s="46" t="s">
        <v>139</v>
      </c>
      <c r="CJ29" s="46" t="s">
        <v>140</v>
      </c>
      <c r="CL29" s="165" t="s">
        <v>267</v>
      </c>
      <c r="CN29" s="46" t="s">
        <v>142</v>
      </c>
      <c r="CP29" s="46" t="s">
        <v>143</v>
      </c>
      <c r="CR29" s="46" t="s">
        <v>300</v>
      </c>
      <c r="CV29" s="46" t="s">
        <v>139</v>
      </c>
      <c r="CX29" s="46" t="s">
        <v>140</v>
      </c>
      <c r="CZ29" s="165" t="s">
        <v>267</v>
      </c>
      <c r="DB29" s="46" t="s">
        <v>142</v>
      </c>
      <c r="DD29" s="46" t="s">
        <v>143</v>
      </c>
      <c r="DF29" s="46" t="s">
        <v>300</v>
      </c>
      <c r="DJ29" s="46" t="s">
        <v>139</v>
      </c>
      <c r="DL29" s="46" t="s">
        <v>140</v>
      </c>
      <c r="DN29" s="165" t="s">
        <v>267</v>
      </c>
      <c r="DP29" s="46" t="s">
        <v>142</v>
      </c>
      <c r="DR29" s="46" t="s">
        <v>143</v>
      </c>
      <c r="DT29" s="46" t="s">
        <v>300</v>
      </c>
      <c r="DX29" s="46" t="s">
        <v>139</v>
      </c>
      <c r="DZ29" s="46" t="s">
        <v>140</v>
      </c>
      <c r="EB29" s="165" t="s">
        <v>267</v>
      </c>
      <c r="ED29" s="46" t="s">
        <v>142</v>
      </c>
      <c r="EF29" s="46" t="s">
        <v>143</v>
      </c>
      <c r="EH29" s="46" t="s">
        <v>300</v>
      </c>
      <c r="EL29" s="46" t="s">
        <v>139</v>
      </c>
      <c r="EN29" s="46" t="s">
        <v>140</v>
      </c>
      <c r="EP29" s="165" t="s">
        <v>267</v>
      </c>
      <c r="ER29" s="46" t="s">
        <v>142</v>
      </c>
      <c r="ET29" s="46" t="s">
        <v>143</v>
      </c>
      <c r="EV29" s="46" t="s">
        <v>300</v>
      </c>
      <c r="EZ29" s="46" t="s">
        <v>139</v>
      </c>
      <c r="FB29" s="46" t="s">
        <v>140</v>
      </c>
      <c r="FD29" s="165" t="s">
        <v>267</v>
      </c>
      <c r="FF29" s="46" t="s">
        <v>142</v>
      </c>
      <c r="FH29" s="46" t="s">
        <v>143</v>
      </c>
      <c r="FJ29" s="46" t="s">
        <v>300</v>
      </c>
      <c r="FN29" s="46" t="s">
        <v>139</v>
      </c>
      <c r="FP29" s="46" t="s">
        <v>140</v>
      </c>
      <c r="FR29" s="165" t="s">
        <v>267</v>
      </c>
      <c r="FT29" s="46" t="s">
        <v>142</v>
      </c>
      <c r="FV29" s="46" t="s">
        <v>143</v>
      </c>
      <c r="FX29" s="46" t="s">
        <v>300</v>
      </c>
      <c r="GB29" s="46" t="s">
        <v>139</v>
      </c>
      <c r="GD29" s="46" t="s">
        <v>140</v>
      </c>
      <c r="GF29" s="165" t="s">
        <v>267</v>
      </c>
      <c r="GH29" s="46" t="s">
        <v>142</v>
      </c>
      <c r="GJ29" s="46" t="s">
        <v>143</v>
      </c>
      <c r="GL29" s="46" t="s">
        <v>300</v>
      </c>
      <c r="GP29" s="46" t="s">
        <v>139</v>
      </c>
      <c r="GR29" s="46" t="s">
        <v>140</v>
      </c>
      <c r="GT29" s="165" t="s">
        <v>267</v>
      </c>
      <c r="GV29" s="46" t="s">
        <v>142</v>
      </c>
      <c r="GX29" s="46" t="s">
        <v>143</v>
      </c>
      <c r="GZ29" s="46" t="s">
        <v>300</v>
      </c>
      <c r="HD29" s="46" t="s">
        <v>139</v>
      </c>
      <c r="HF29" s="46" t="s">
        <v>140</v>
      </c>
      <c r="HH29" s="165" t="s">
        <v>267</v>
      </c>
      <c r="HJ29" s="46" t="s">
        <v>142</v>
      </c>
      <c r="HL29" s="46" t="s">
        <v>143</v>
      </c>
      <c r="HN29" s="46" t="s">
        <v>300</v>
      </c>
      <c r="HR29" s="46" t="s">
        <v>139</v>
      </c>
      <c r="HT29" s="46" t="s">
        <v>140</v>
      </c>
      <c r="HV29" s="165" t="s">
        <v>267</v>
      </c>
      <c r="HX29" s="46" t="s">
        <v>142</v>
      </c>
      <c r="HZ29" s="46" t="s">
        <v>143</v>
      </c>
      <c r="IB29" s="46" t="s">
        <v>144</v>
      </c>
      <c r="IF29" s="46" t="s">
        <v>139</v>
      </c>
      <c r="IH29" s="46" t="s">
        <v>140</v>
      </c>
      <c r="IJ29" s="165" t="s">
        <v>267</v>
      </c>
      <c r="IL29" s="46" t="s">
        <v>142</v>
      </c>
      <c r="IN29" s="46" t="s">
        <v>143</v>
      </c>
      <c r="IP29" s="46" t="s">
        <v>144</v>
      </c>
      <c r="IT29" s="46" t="s">
        <v>139</v>
      </c>
      <c r="IV29" s="46" t="s">
        <v>140</v>
      </c>
      <c r="IX29" s="165" t="s">
        <v>267</v>
      </c>
      <c r="IZ29" s="46" t="s">
        <v>142</v>
      </c>
      <c r="JB29" s="46" t="s">
        <v>143</v>
      </c>
      <c r="JD29" s="46" t="s">
        <v>144</v>
      </c>
      <c r="JH29" s="46" t="s">
        <v>139</v>
      </c>
      <c r="JJ29" s="46" t="s">
        <v>140</v>
      </c>
      <c r="JL29" s="165" t="s">
        <v>267</v>
      </c>
      <c r="JN29" s="46" t="s">
        <v>142</v>
      </c>
      <c r="JP29" s="46" t="s">
        <v>143</v>
      </c>
      <c r="JR29" s="46" t="s">
        <v>144</v>
      </c>
      <c r="JV29" s="46" t="s">
        <v>139</v>
      </c>
      <c r="JX29" s="46" t="s">
        <v>140</v>
      </c>
      <c r="JZ29" s="165" t="s">
        <v>267</v>
      </c>
      <c r="KB29" s="46" t="s">
        <v>142</v>
      </c>
      <c r="KD29" s="46" t="s">
        <v>143</v>
      </c>
      <c r="KF29" s="46" t="s">
        <v>144</v>
      </c>
      <c r="KJ29" s="46" t="s">
        <v>139</v>
      </c>
      <c r="KL29" s="46" t="s">
        <v>140</v>
      </c>
      <c r="KN29" s="165" t="s">
        <v>267</v>
      </c>
      <c r="KP29" s="46" t="s">
        <v>142</v>
      </c>
      <c r="KR29" s="46" t="s">
        <v>143</v>
      </c>
      <c r="KT29" s="46" t="s">
        <v>144</v>
      </c>
      <c r="KX29" s="46" t="s">
        <v>139</v>
      </c>
      <c r="KZ29" s="46" t="s">
        <v>140</v>
      </c>
      <c r="LB29" s="155" t="s">
        <v>267</v>
      </c>
      <c r="LD29" s="46" t="s">
        <v>142</v>
      </c>
      <c r="LF29" s="47" t="s">
        <v>143</v>
      </c>
      <c r="LH29" s="46" t="s">
        <v>144</v>
      </c>
      <c r="LK29" s="46" t="s">
        <v>139</v>
      </c>
      <c r="LM29" s="46" t="s">
        <v>140</v>
      </c>
      <c r="LO29" s="155" t="s">
        <v>267</v>
      </c>
      <c r="LP29" s="164"/>
      <c r="LQ29" s="46" t="s">
        <v>142</v>
      </c>
      <c r="LS29" s="47" t="s">
        <v>143</v>
      </c>
      <c r="LU29" s="46" t="s">
        <v>144</v>
      </c>
      <c r="LV29" s="46"/>
      <c r="LX29" s="46" t="s">
        <v>139</v>
      </c>
      <c r="LZ29" s="46" t="s">
        <v>140</v>
      </c>
      <c r="MB29" s="165" t="s">
        <v>267</v>
      </c>
      <c r="MD29" s="46" t="s">
        <v>142</v>
      </c>
      <c r="MF29" s="46" t="s">
        <v>143</v>
      </c>
      <c r="MH29" s="46" t="s">
        <v>144</v>
      </c>
      <c r="ML29" s="46" t="s">
        <v>139</v>
      </c>
      <c r="MN29" s="46" t="s">
        <v>140</v>
      </c>
      <c r="MP29" s="165" t="s">
        <v>267</v>
      </c>
      <c r="MR29" s="46" t="s">
        <v>142</v>
      </c>
      <c r="MT29" s="46" t="s">
        <v>143</v>
      </c>
      <c r="MV29" s="46" t="s">
        <v>144</v>
      </c>
      <c r="MZ29" s="46" t="s">
        <v>139</v>
      </c>
      <c r="NB29" s="46" t="s">
        <v>140</v>
      </c>
      <c r="ND29" s="155" t="s">
        <v>267</v>
      </c>
      <c r="NF29" s="46" t="s">
        <v>142</v>
      </c>
      <c r="NH29" s="47" t="s">
        <v>143</v>
      </c>
      <c r="NJ29" s="46" t="s">
        <v>144</v>
      </c>
      <c r="NM29" s="46" t="s">
        <v>139</v>
      </c>
      <c r="NO29" s="46" t="s">
        <v>140</v>
      </c>
      <c r="NQ29" s="155" t="s">
        <v>267</v>
      </c>
      <c r="NR29" s="164"/>
      <c r="NS29" s="46" t="s">
        <v>142</v>
      </c>
      <c r="NU29" s="47" t="s">
        <v>143</v>
      </c>
      <c r="NW29" s="46" t="s">
        <v>144</v>
      </c>
      <c r="NZ29" s="46" t="s">
        <v>139</v>
      </c>
      <c r="OB29" s="46" t="s">
        <v>140</v>
      </c>
      <c r="OD29" s="155" t="s">
        <v>267</v>
      </c>
      <c r="OF29" s="46" t="s">
        <v>142</v>
      </c>
      <c r="OH29" s="47" t="s">
        <v>143</v>
      </c>
      <c r="OJ29" s="46" t="s">
        <v>144</v>
      </c>
      <c r="OM29" s="46" t="s">
        <v>139</v>
      </c>
      <c r="OO29" s="46" t="s">
        <v>140</v>
      </c>
      <c r="OQ29" s="129" t="s">
        <v>141</v>
      </c>
      <c r="OS29" s="46" t="s">
        <v>142</v>
      </c>
      <c r="OU29" s="47" t="s">
        <v>143</v>
      </c>
      <c r="OW29" s="46" t="s">
        <v>144</v>
      </c>
      <c r="OZ29" s="46" t="s">
        <v>139</v>
      </c>
      <c r="PB29" s="46" t="s">
        <v>140</v>
      </c>
      <c r="PD29" s="129" t="s">
        <v>141</v>
      </c>
      <c r="PF29" s="46" t="s">
        <v>142</v>
      </c>
      <c r="PH29" s="47" t="s">
        <v>143</v>
      </c>
      <c r="PJ29" s="46" t="s">
        <v>144</v>
      </c>
      <c r="PM29" s="46" t="s">
        <v>139</v>
      </c>
      <c r="PO29" s="46" t="s">
        <v>140</v>
      </c>
      <c r="PQ29" s="129" t="s">
        <v>141</v>
      </c>
      <c r="PS29" s="46" t="s">
        <v>142</v>
      </c>
      <c r="PU29" s="47" t="s">
        <v>143</v>
      </c>
      <c r="PW29" s="46" t="s">
        <v>144</v>
      </c>
      <c r="PZ29" s="46" t="s">
        <v>139</v>
      </c>
      <c r="QB29" s="46" t="s">
        <v>140</v>
      </c>
      <c r="QD29" s="46" t="s">
        <v>141</v>
      </c>
      <c r="QF29" s="46" t="s">
        <v>142</v>
      </c>
      <c r="QH29" s="47" t="s">
        <v>143</v>
      </c>
      <c r="QJ29" s="46" t="s">
        <v>144</v>
      </c>
      <c r="QM29" s="46" t="s">
        <v>139</v>
      </c>
      <c r="QO29" s="46" t="s">
        <v>140</v>
      </c>
      <c r="QQ29" s="46" t="s">
        <v>141</v>
      </c>
      <c r="QS29" s="46" t="s">
        <v>142</v>
      </c>
      <c r="QU29" s="47" t="s">
        <v>143</v>
      </c>
      <c r="QW29" s="46" t="s">
        <v>144</v>
      </c>
      <c r="QZ29" s="46" t="s">
        <v>139</v>
      </c>
      <c r="RB29" s="46" t="s">
        <v>140</v>
      </c>
      <c r="RD29" s="46" t="s">
        <v>141</v>
      </c>
      <c r="RF29" s="46" t="s">
        <v>142</v>
      </c>
      <c r="RH29" s="47" t="s">
        <v>143</v>
      </c>
      <c r="RJ29" s="46" t="s">
        <v>144</v>
      </c>
      <c r="RM29" s="46" t="s">
        <v>139</v>
      </c>
      <c r="RO29" s="46" t="s">
        <v>140</v>
      </c>
      <c r="RQ29" s="46" t="s">
        <v>141</v>
      </c>
      <c r="RS29" s="46" t="s">
        <v>142</v>
      </c>
      <c r="RU29" s="47" t="s">
        <v>143</v>
      </c>
      <c r="RW29" s="46" t="s">
        <v>144</v>
      </c>
      <c r="RZ29" s="46" t="s">
        <v>139</v>
      </c>
      <c r="SB29" s="46" t="s">
        <v>140</v>
      </c>
      <c r="SD29" s="46" t="s">
        <v>141</v>
      </c>
      <c r="SF29" s="46" t="s">
        <v>142</v>
      </c>
      <c r="SH29" s="47" t="s">
        <v>143</v>
      </c>
      <c r="SJ29" s="46" t="s">
        <v>144</v>
      </c>
      <c r="SM29" s="46" t="s">
        <v>139</v>
      </c>
      <c r="SO29" s="46" t="s">
        <v>140</v>
      </c>
      <c r="SQ29" s="46" t="s">
        <v>141</v>
      </c>
      <c r="SS29" s="46" t="s">
        <v>142</v>
      </c>
      <c r="SU29" s="47" t="s">
        <v>143</v>
      </c>
      <c r="SW29" s="46" t="s">
        <v>144</v>
      </c>
      <c r="SZ29" s="46" t="s">
        <v>139</v>
      </c>
      <c r="TB29" s="46" t="s">
        <v>140</v>
      </c>
      <c r="TD29" s="46" t="s">
        <v>141</v>
      </c>
      <c r="TF29" s="46" t="s">
        <v>142</v>
      </c>
      <c r="TH29" s="47" t="s">
        <v>143</v>
      </c>
      <c r="TJ29" s="46" t="s">
        <v>144</v>
      </c>
      <c r="TM29" s="46" t="s">
        <v>139</v>
      </c>
      <c r="TO29" s="46" t="s">
        <v>140</v>
      </c>
      <c r="TQ29" s="46" t="s">
        <v>141</v>
      </c>
      <c r="TS29" s="46" t="s">
        <v>142</v>
      </c>
      <c r="TU29" s="47" t="s">
        <v>143</v>
      </c>
      <c r="TW29" s="46" t="s">
        <v>144</v>
      </c>
      <c r="TZ29" s="46" t="s">
        <v>139</v>
      </c>
      <c r="UB29" s="46" t="s">
        <v>140</v>
      </c>
      <c r="UD29" s="46" t="s">
        <v>141</v>
      </c>
      <c r="UF29" s="46" t="s">
        <v>142</v>
      </c>
      <c r="UH29" s="47" t="s">
        <v>143</v>
      </c>
      <c r="UJ29" s="46" t="s">
        <v>144</v>
      </c>
      <c r="UM29" s="46" t="s">
        <v>139</v>
      </c>
      <c r="UO29" s="46" t="s">
        <v>140</v>
      </c>
      <c r="UQ29" s="46" t="s">
        <v>141</v>
      </c>
      <c r="US29" s="46" t="s">
        <v>142</v>
      </c>
      <c r="UU29" s="47" t="s">
        <v>143</v>
      </c>
      <c r="UW29" s="46" t="s">
        <v>144</v>
      </c>
      <c r="UZ29" s="46" t="s">
        <v>139</v>
      </c>
      <c r="VB29" s="46" t="s">
        <v>140</v>
      </c>
      <c r="VD29" s="46" t="s">
        <v>141</v>
      </c>
      <c r="VF29" s="46" t="s">
        <v>142</v>
      </c>
      <c r="VH29" s="47" t="s">
        <v>143</v>
      </c>
      <c r="VJ29" s="46" t="s">
        <v>144</v>
      </c>
      <c r="VM29" s="46" t="s">
        <v>139</v>
      </c>
      <c r="VO29" s="46" t="s">
        <v>140</v>
      </c>
      <c r="VQ29" s="46" t="s">
        <v>141</v>
      </c>
      <c r="VS29" s="46" t="s">
        <v>142</v>
      </c>
      <c r="VU29" s="47" t="s">
        <v>143</v>
      </c>
      <c r="VW29" s="46" t="s">
        <v>144</v>
      </c>
      <c r="VZ29" s="46" t="s">
        <v>139</v>
      </c>
      <c r="WB29" s="46" t="s">
        <v>140</v>
      </c>
      <c r="WD29" s="46" t="s">
        <v>141</v>
      </c>
      <c r="WF29" s="46" t="s">
        <v>142</v>
      </c>
      <c r="WH29" s="47" t="s">
        <v>143</v>
      </c>
      <c r="WJ29" s="46" t="s">
        <v>144</v>
      </c>
      <c r="WM29" s="46" t="s">
        <v>139</v>
      </c>
      <c r="WO29" s="46" t="s">
        <v>140</v>
      </c>
      <c r="WQ29" s="46" t="s">
        <v>141</v>
      </c>
      <c r="WS29" s="46" t="s">
        <v>142</v>
      </c>
      <c r="WU29" s="47" t="s">
        <v>143</v>
      </c>
      <c r="WW29" s="46" t="s">
        <v>144</v>
      </c>
      <c r="WZ29" s="46" t="s">
        <v>139</v>
      </c>
      <c r="XB29" s="46" t="s">
        <v>140</v>
      </c>
      <c r="XD29" s="46" t="s">
        <v>141</v>
      </c>
      <c r="XF29" s="46" t="s">
        <v>142</v>
      </c>
      <c r="XH29" s="47" t="s">
        <v>143</v>
      </c>
      <c r="XJ29" s="46" t="s">
        <v>144</v>
      </c>
      <c r="XM29" s="46" t="s">
        <v>139</v>
      </c>
      <c r="XO29" s="46" t="s">
        <v>140</v>
      </c>
      <c r="XQ29" s="46" t="s">
        <v>141</v>
      </c>
      <c r="XS29" s="46" t="s">
        <v>142</v>
      </c>
      <c r="XU29" s="47" t="s">
        <v>143</v>
      </c>
      <c r="XW29" s="46" t="s">
        <v>144</v>
      </c>
      <c r="XZ29" s="46"/>
      <c r="YB29" s="46"/>
      <c r="YD29" s="46"/>
      <c r="YF29" s="46"/>
      <c r="YH29" s="47"/>
      <c r="YJ29" s="46"/>
    </row>
    <row r="30" spans="1:660">
      <c r="LB30" s="156"/>
      <c r="LO30" s="156"/>
      <c r="LP30" s="164"/>
      <c r="ND30" s="156"/>
      <c r="NQ30" s="156"/>
      <c r="NR30" s="164"/>
      <c r="OD30" s="156"/>
      <c r="OQ30" s="130"/>
      <c r="PD30" s="130"/>
      <c r="PQ30" s="130"/>
    </row>
    <row r="31" spans="1:660">
      <c r="A31" s="48" t="s">
        <v>145</v>
      </c>
      <c r="B31" s="49"/>
      <c r="C31" s="50"/>
      <c r="D31" s="49"/>
      <c r="E31" s="49"/>
      <c r="F31" s="166"/>
      <c r="G31" s="49"/>
      <c r="H31" s="49"/>
      <c r="I31" s="49"/>
      <c r="J31" s="49"/>
      <c r="K31" s="49"/>
      <c r="L31" s="49"/>
      <c r="O31" s="48" t="s">
        <v>145</v>
      </c>
      <c r="P31" s="49"/>
      <c r="Q31" s="50"/>
      <c r="R31" s="49"/>
      <c r="S31" s="49"/>
      <c r="T31" s="166"/>
      <c r="U31" s="49"/>
      <c r="V31" s="49"/>
      <c r="W31" s="49"/>
      <c r="X31" s="49"/>
      <c r="Y31" s="49"/>
      <c r="Z31" s="49"/>
      <c r="AC31" s="48" t="s">
        <v>145</v>
      </c>
      <c r="AD31" s="49"/>
      <c r="AE31" s="50"/>
      <c r="AF31" s="49"/>
      <c r="AG31" s="49"/>
      <c r="AH31" s="166"/>
      <c r="AI31" s="49"/>
      <c r="AJ31" s="49"/>
      <c r="AK31" s="49"/>
      <c r="AL31" s="49"/>
      <c r="AM31" s="49"/>
      <c r="AN31" s="49"/>
      <c r="AQ31" s="48" t="s">
        <v>145</v>
      </c>
      <c r="AR31" s="49">
        <f>SUM(AR32:AR34)</f>
        <v>191204420.3860037</v>
      </c>
      <c r="AS31" s="50"/>
      <c r="AT31" s="49">
        <f>SUM(AT32:AT34)</f>
        <v>12511347.49</v>
      </c>
      <c r="AU31" s="49"/>
      <c r="AV31" s="166">
        <f>SUM(AV32:AV34)</f>
        <v>0</v>
      </c>
      <c r="AW31" s="49"/>
      <c r="AX31" s="49">
        <f>SUM(AX32:AX34)</f>
        <v>386700</v>
      </c>
      <c r="AY31" s="49"/>
      <c r="AZ31" s="49">
        <f>SUM(AZ32:AZ34)</f>
        <v>-974182.13</v>
      </c>
      <c r="BA31" s="49"/>
      <c r="BB31" s="49">
        <f>SUM(AR31:AZ31)</f>
        <v>203128285.74600372</v>
      </c>
      <c r="BE31" s="48" t="s">
        <v>145</v>
      </c>
      <c r="BF31" s="49">
        <f>SUM(BF32:BF34)</f>
        <v>128420283.66094783</v>
      </c>
      <c r="BG31" s="50"/>
      <c r="BH31" s="49">
        <f>SUM(BH32:BH34)</f>
        <v>13093178.639999993</v>
      </c>
      <c r="BI31" s="49"/>
      <c r="BJ31" s="166">
        <f>SUM(BJ32:BJ34)</f>
        <v>0</v>
      </c>
      <c r="BK31" s="49"/>
      <c r="BL31" s="49">
        <f>SUM(BL32:BL34)</f>
        <v>386700</v>
      </c>
      <c r="BM31" s="49"/>
      <c r="BN31" s="49">
        <f>SUM(BN32:BN34)</f>
        <v>-755893.73</v>
      </c>
      <c r="BO31" s="49"/>
      <c r="BP31" s="49">
        <f>SUM(BF31:BN31)</f>
        <v>141144268.57094783</v>
      </c>
      <c r="BS31" s="48" t="s">
        <v>145</v>
      </c>
      <c r="BT31" s="49">
        <f>SUM(BT32:BT34)</f>
        <v>114168428.85832222</v>
      </c>
      <c r="BU31" s="50"/>
      <c r="BV31" s="49">
        <f>SUM(BV32:BV34)</f>
        <v>10267157.270000001</v>
      </c>
      <c r="BW31" s="49"/>
      <c r="BX31" s="166">
        <f>SUM(BX32:BX34)</f>
        <v>0</v>
      </c>
      <c r="BY31" s="49"/>
      <c r="BZ31" s="49">
        <f>SUM(BZ32:BZ34)</f>
        <v>386700</v>
      </c>
      <c r="CA31" s="49"/>
      <c r="CB31" s="49">
        <f>SUM(CB32:CB34)</f>
        <v>-843527.59999999963</v>
      </c>
      <c r="CC31" s="49"/>
      <c r="CD31" s="49">
        <f>SUM(BT31:CB31)</f>
        <v>123978758.52832222</v>
      </c>
      <c r="CG31" s="48" t="s">
        <v>145</v>
      </c>
      <c r="CH31" s="49">
        <f>SUM(CH32:CH34)</f>
        <v>75096941.409041032</v>
      </c>
      <c r="CI31" s="50"/>
      <c r="CJ31" s="49">
        <f>SUM(CJ32:CJ34)</f>
        <v>12988033.270000001</v>
      </c>
      <c r="CK31" s="49"/>
      <c r="CL31" s="166">
        <f>SUM(CL32:CL34)</f>
        <v>0</v>
      </c>
      <c r="CM31" s="49"/>
      <c r="CN31" s="49">
        <f>SUM(CN32:CN34)</f>
        <v>386700</v>
      </c>
      <c r="CO31" s="49"/>
      <c r="CP31" s="49">
        <f>SUM(CP32:CP34)</f>
        <v>-769030.75999999989</v>
      </c>
      <c r="CQ31" s="49"/>
      <c r="CR31" s="49">
        <f>SUM(CH31:CP31)</f>
        <v>87702643.919041023</v>
      </c>
      <c r="CU31" s="48" t="s">
        <v>145</v>
      </c>
      <c r="CV31" s="49">
        <f>SUM(CV32:CV34)</f>
        <v>261613432.49095896</v>
      </c>
      <c r="CW31" s="50"/>
      <c r="CX31" s="49">
        <f>SUM(CX32:CX34)</f>
        <v>10267329.340000002</v>
      </c>
      <c r="CY31" s="49"/>
      <c r="CZ31" s="166">
        <f>SUM(CZ32:CZ34)</f>
        <v>0</v>
      </c>
      <c r="DA31" s="49"/>
      <c r="DB31" s="49">
        <f>SUM(DB32:DB34)</f>
        <v>382500</v>
      </c>
      <c r="DC31" s="49"/>
      <c r="DD31" s="49">
        <f>SUM(DD32:DD34)</f>
        <v>-967139.45000000007</v>
      </c>
      <c r="DE31" s="49"/>
      <c r="DF31" s="49">
        <f>SUM(CV31:DD31)</f>
        <v>271296122.38095897</v>
      </c>
      <c r="DI31" s="48" t="s">
        <v>145</v>
      </c>
      <c r="DJ31" s="49">
        <f>SUM(DJ32:DJ34)</f>
        <v>125699344.54430254</v>
      </c>
      <c r="DK31" s="50"/>
      <c r="DL31" s="49">
        <f>SUM(DL32:DL34)</f>
        <v>10364731.700000005</v>
      </c>
      <c r="DM31" s="49"/>
      <c r="DN31" s="166">
        <f>SUM(DN32:DN34)</f>
        <v>0</v>
      </c>
      <c r="DO31" s="49"/>
      <c r="DP31" s="49">
        <f>SUM(DP32:DP34)</f>
        <v>382500</v>
      </c>
      <c r="DQ31" s="49"/>
      <c r="DR31" s="49">
        <f>SUM(DR32:DR34)</f>
        <v>-758344.53000000073</v>
      </c>
      <c r="DS31" s="49"/>
      <c r="DT31" s="49">
        <f>SUM(DJ31:DR31)</f>
        <v>135688231.71430254</v>
      </c>
      <c r="DW31" s="48" t="s">
        <v>145</v>
      </c>
      <c r="DX31" s="49">
        <f>SUM(DX32:DX34)</f>
        <v>93969758.73212561</v>
      </c>
      <c r="DY31" s="50"/>
      <c r="DZ31" s="49">
        <f>SUM(DZ32:DZ34)</f>
        <v>8937489.679999996</v>
      </c>
      <c r="EA31" s="49"/>
      <c r="EB31" s="166">
        <f>SUM(EB32:EB34)</f>
        <v>0</v>
      </c>
      <c r="EC31" s="49"/>
      <c r="ED31" s="49">
        <f>SUM(ED32:ED34)</f>
        <v>303606.95999999996</v>
      </c>
      <c r="EE31" s="49"/>
      <c r="EF31" s="49">
        <f>SUM(EF32:EF34)</f>
        <v>-1505147.7679839996</v>
      </c>
      <c r="EG31" s="49"/>
      <c r="EH31" s="49">
        <f>SUM(DX31:EF31)</f>
        <v>101705707.60414159</v>
      </c>
      <c r="EK31" s="48" t="s">
        <v>145</v>
      </c>
      <c r="EL31" s="49">
        <f>SUM(EL32:EL34)</f>
        <v>54962512.35953851</v>
      </c>
      <c r="EM31" s="50"/>
      <c r="EN31" s="49">
        <f>SUM(EN32:EN34)</f>
        <v>11102460.230000004</v>
      </c>
      <c r="EO31" s="49"/>
      <c r="EP31" s="166">
        <f>SUM(EP32:EP34)</f>
        <v>0</v>
      </c>
      <c r="EQ31" s="49"/>
      <c r="ER31" s="49">
        <f>SUM(ER32:ER34)</f>
        <v>411020.53</v>
      </c>
      <c r="ES31" s="49"/>
      <c r="ET31" s="49">
        <f>SUM(ET32:ET34)</f>
        <v>-812585.13201599999</v>
      </c>
      <c r="EU31" s="49"/>
      <c r="EV31" s="49">
        <f>SUM(EL31:ET31)</f>
        <v>65663407.987522513</v>
      </c>
      <c r="EY31" s="48" t="s">
        <v>145</v>
      </c>
      <c r="EZ31" s="49">
        <f>SUM(EZ32:EZ34)</f>
        <v>136202447.01403338</v>
      </c>
      <c r="FA31" s="50"/>
      <c r="FB31" s="49">
        <f>SUM(FB32:FB34)</f>
        <v>7864806.9699999988</v>
      </c>
      <c r="FC31" s="49"/>
      <c r="FD31" s="166">
        <f>SUM(FD32:FD34)</f>
        <v>0</v>
      </c>
      <c r="FE31" s="49"/>
      <c r="FF31" s="49">
        <f>SUM(FF32:FF34)</f>
        <v>432872.51</v>
      </c>
      <c r="FG31" s="49"/>
      <c r="FH31" s="49">
        <f>SUM(FH32:FH34)</f>
        <v>-685905.80999999994</v>
      </c>
      <c r="FI31" s="49"/>
      <c r="FJ31" s="49">
        <f>SUM(EZ31:FH31)</f>
        <v>143814220.68403336</v>
      </c>
      <c r="FM31" s="48" t="s">
        <v>145</v>
      </c>
      <c r="FN31" s="49">
        <f>SUM(FN32:FN34)</f>
        <v>51867834.240962438</v>
      </c>
      <c r="FO31" s="50"/>
      <c r="FP31" s="49">
        <f>SUM(FP32:FP34)</f>
        <v>6779411.5100000026</v>
      </c>
      <c r="FQ31" s="49"/>
      <c r="FR31" s="166">
        <f>SUM(FR32:FR34)</f>
        <v>0</v>
      </c>
      <c r="FS31" s="49"/>
      <c r="FT31" s="49">
        <f>SUM(FT32:FT34)</f>
        <v>432081.04000000004</v>
      </c>
      <c r="FU31" s="49"/>
      <c r="FV31" s="49">
        <f>SUM(FV32:FV34)</f>
        <v>-700768.76000000024</v>
      </c>
      <c r="FW31" s="49"/>
      <c r="FX31" s="49">
        <f>SUM(FN31:FV31)</f>
        <v>58378558.030962445</v>
      </c>
      <c r="GA31" s="48" t="s">
        <v>145</v>
      </c>
      <c r="GB31" s="49">
        <f>SUM(GB32:GB34)</f>
        <v>29766744.827332694</v>
      </c>
      <c r="GC31" s="50"/>
      <c r="GD31" s="49">
        <f>SUM(GD32:GD34)</f>
        <v>7542389.9099999974</v>
      </c>
      <c r="GE31" s="49"/>
      <c r="GF31" s="166">
        <f>SUM(GF32:GF34)</f>
        <v>0</v>
      </c>
      <c r="GG31" s="49"/>
      <c r="GH31" s="49">
        <f>SUM(GH32:GH34)</f>
        <v>482808.12999999989</v>
      </c>
      <c r="GI31" s="49"/>
      <c r="GJ31" s="49">
        <f>SUM(GJ32:GJ34)</f>
        <v>-2027426.5799999996</v>
      </c>
      <c r="GK31" s="49"/>
      <c r="GL31" s="49">
        <f>SUM(GB31:GJ31)</f>
        <v>35764516.287332699</v>
      </c>
      <c r="GO31" s="48" t="s">
        <v>145</v>
      </c>
      <c r="GP31" s="49">
        <f>SUM(GP32:GP34)</f>
        <v>29407099.558277003</v>
      </c>
      <c r="GQ31" s="50"/>
      <c r="GR31" s="49">
        <f>SUM(GR32:GR34)</f>
        <v>8910470.2199999988</v>
      </c>
      <c r="GS31" s="49"/>
      <c r="GT31" s="166">
        <f>SUM(GT32:GT34)</f>
        <v>0</v>
      </c>
      <c r="GU31" s="49"/>
      <c r="GV31" s="49">
        <f>SUM(GV32:GV34)</f>
        <v>489088.79000000004</v>
      </c>
      <c r="GW31" s="49"/>
      <c r="GX31" s="49">
        <f>SUM(GX32:GX34)</f>
        <v>-1510098.0099999998</v>
      </c>
      <c r="GY31" s="49"/>
      <c r="GZ31" s="49">
        <f>SUM(GP31:GX31)</f>
        <v>37296560.558277003</v>
      </c>
      <c r="HC31" s="48" t="s">
        <v>145</v>
      </c>
      <c r="HD31" s="49">
        <f>SUM(HD32:HD34)</f>
        <v>28230608</v>
      </c>
      <c r="HE31" s="50"/>
      <c r="HF31" s="49">
        <f>SUM(HF32:HF34)</f>
        <v>7436099.8200000003</v>
      </c>
      <c r="HG31" s="49"/>
      <c r="HH31" s="166">
        <f>SUM(HH32:HH34)</f>
        <v>0</v>
      </c>
      <c r="HI31" s="49"/>
      <c r="HJ31" s="49">
        <f>SUM(HJ32:HJ34)</f>
        <v>411000</v>
      </c>
      <c r="HK31" s="49"/>
      <c r="HL31" s="49">
        <f>SUM(HL32:HL34)</f>
        <v>-656401.62</v>
      </c>
      <c r="HM31" s="49"/>
      <c r="HN31" s="49">
        <f>SUM(HD31:HL31)</f>
        <v>35421306.200000003</v>
      </c>
      <c r="HQ31" s="48" t="s">
        <v>145</v>
      </c>
      <c r="HR31" s="49">
        <f>SUM(HR32:HR34)</f>
        <v>44411558.260000005</v>
      </c>
      <c r="HS31" s="50"/>
      <c r="HT31" s="49">
        <f>SUM(HT32:HT34)</f>
        <v>7693839.5699999994</v>
      </c>
      <c r="HU31" s="49"/>
      <c r="HV31" s="166">
        <f>SUM(HV32:HV34)</f>
        <v>0</v>
      </c>
      <c r="HW31" s="49"/>
      <c r="HX31" s="49">
        <f>SUM(HX32:HX34)</f>
        <v>411000</v>
      </c>
      <c r="HY31" s="49"/>
      <c r="HZ31" s="49">
        <f>SUM(HZ32:HZ34)</f>
        <v>-652652.87000000011</v>
      </c>
      <c r="IA31" s="49"/>
      <c r="IB31" s="49">
        <f>SUM(HR31:HZ31)</f>
        <v>51863744.960000008</v>
      </c>
      <c r="IE31" s="48" t="s">
        <v>145</v>
      </c>
      <c r="IF31" s="49">
        <f>SUM(IF32:IF34)</f>
        <v>8483714.6999999937</v>
      </c>
      <c r="IG31" s="50"/>
      <c r="IH31" s="49">
        <f>SUM(IH32:IH34)</f>
        <v>7475957.5800000019</v>
      </c>
      <c r="II31" s="49"/>
      <c r="IJ31" s="166">
        <f>SUM(IJ32:IJ34)</f>
        <v>0</v>
      </c>
      <c r="IK31" s="49"/>
      <c r="IL31" s="49">
        <f>SUM(IL32:IL34)</f>
        <v>411000</v>
      </c>
      <c r="IM31" s="49"/>
      <c r="IN31" s="49">
        <f>SUM(IN32:IN34)</f>
        <v>-648044.21</v>
      </c>
      <c r="IO31" s="49"/>
      <c r="IP31" s="49">
        <f>SUM(IF31:IN31)</f>
        <v>15722628.069999997</v>
      </c>
      <c r="IS31" s="48" t="s">
        <v>145</v>
      </c>
      <c r="IT31" s="49">
        <f>SUM(IT32:IT34)</f>
        <v>19785259.139999997</v>
      </c>
      <c r="IU31" s="50"/>
      <c r="IV31" s="49">
        <f>SUM(IV32:IV34)</f>
        <v>7376350.8399999989</v>
      </c>
      <c r="IW31" s="49"/>
      <c r="IX31" s="166">
        <f>SUM(IX32:IX34)</f>
        <v>0</v>
      </c>
      <c r="IY31" s="49"/>
      <c r="IZ31" s="49">
        <f>SUM(IZ32:IZ34)</f>
        <v>411000</v>
      </c>
      <c r="JA31" s="49"/>
      <c r="JB31" s="49">
        <f>SUM(JB32:JB34)</f>
        <v>-599138</v>
      </c>
      <c r="JC31" s="49"/>
      <c r="JD31" s="49">
        <f>SUM(IT31:JB31)</f>
        <v>26973471.979999997</v>
      </c>
      <c r="JG31" s="48" t="s">
        <v>145</v>
      </c>
      <c r="JH31" s="49">
        <f>SUM(JH32:JH34)</f>
        <v>28198023.960000001</v>
      </c>
      <c r="JI31" s="50"/>
      <c r="JJ31" s="49">
        <f>SUM(JJ32:JJ34)</f>
        <v>6185094</v>
      </c>
      <c r="JK31" s="49"/>
      <c r="JL31" s="166">
        <f>SUM(JL32:JL34)</f>
        <v>0</v>
      </c>
      <c r="JM31" s="49"/>
      <c r="JN31" s="49">
        <f>SUM(JN32:JN34)</f>
        <v>411000</v>
      </c>
      <c r="JO31" s="49"/>
      <c r="JP31" s="49">
        <f>SUM(JP32:JP34)</f>
        <v>-726512.56</v>
      </c>
      <c r="JQ31" s="49"/>
      <c r="JR31" s="49">
        <f>SUM(JH31:JP31)</f>
        <v>34067605.399999999</v>
      </c>
      <c r="JU31" s="48" t="s">
        <v>145</v>
      </c>
      <c r="JV31" s="49">
        <f>SUM(JV32:JV34)</f>
        <v>21949259.650000006</v>
      </c>
      <c r="JW31" s="50"/>
      <c r="JX31" s="49">
        <f>SUM(JX32:JX34)</f>
        <v>6840094.2999999998</v>
      </c>
      <c r="JY31" s="49"/>
      <c r="JZ31" s="166">
        <f>SUM(JZ32:JZ34)</f>
        <v>0</v>
      </c>
      <c r="KA31" s="49"/>
      <c r="KB31" s="49">
        <f>SUM(KB32:KB34)</f>
        <v>136500</v>
      </c>
      <c r="KC31" s="49"/>
      <c r="KD31" s="49">
        <f>SUM(KD32:KD34)</f>
        <v>-396917.39000000013</v>
      </c>
      <c r="KE31" s="49"/>
      <c r="KF31" s="49">
        <f>SUM(JV31:KD31)</f>
        <v>28528936.560000006</v>
      </c>
      <c r="KI31" s="48" t="s">
        <v>145</v>
      </c>
      <c r="KJ31" s="49">
        <f>SUM(KJ32:KJ34)</f>
        <v>16578916.539999986</v>
      </c>
      <c r="KK31" s="50"/>
      <c r="KL31" s="49">
        <f>SUM(KL32:KL34)</f>
        <v>5942251.1900000023</v>
      </c>
      <c r="KM31" s="49"/>
      <c r="KN31" s="166">
        <f>SUM(KN32:KN34)</f>
        <v>0</v>
      </c>
      <c r="KO31" s="49"/>
      <c r="KP31" s="49">
        <f>SUM(KP32:KP34)</f>
        <v>502500</v>
      </c>
      <c r="KQ31" s="49"/>
      <c r="KR31" s="49">
        <f>SUM(KR32:KR34)</f>
        <v>-737142.91999999993</v>
      </c>
      <c r="KS31" s="49"/>
      <c r="KT31" s="49">
        <f>SUM(KJ31:KR31)</f>
        <v>22286524.809999987</v>
      </c>
      <c r="KW31" s="48" t="s">
        <v>145</v>
      </c>
      <c r="KX31" s="49">
        <f>SUM(KX32:KX34)</f>
        <v>28951895.919999998</v>
      </c>
      <c r="KY31" s="50"/>
      <c r="KZ31" s="49">
        <f>SUM(KZ32:KZ34)</f>
        <v>8271302.540000001</v>
      </c>
      <c r="LA31" s="49"/>
      <c r="LB31" s="157">
        <f>SUM(LB32:LB34)</f>
        <v>0</v>
      </c>
      <c r="LC31" s="49"/>
      <c r="LD31" s="49">
        <f>SUM(LD32:LD34)</f>
        <v>502500</v>
      </c>
      <c r="LE31" s="49"/>
      <c r="LF31" s="49">
        <f>SUM(LF32:LF34)</f>
        <v>-745453.74000000011</v>
      </c>
      <c r="LG31" s="49"/>
      <c r="LH31" s="49">
        <f>SUM(KX31:LF31)</f>
        <v>36980244.719999999</v>
      </c>
      <c r="LJ31" s="48" t="s">
        <v>145</v>
      </c>
      <c r="LK31" s="49">
        <f>SUM(LK32:LK34)</f>
        <v>29440758.830000002</v>
      </c>
      <c r="LL31" s="50"/>
      <c r="LM31" s="49">
        <f>SUM(LM32:LM34)</f>
        <v>8457185.1199999992</v>
      </c>
      <c r="LN31" s="49"/>
      <c r="LO31" s="157">
        <f>SUM(LO32:LO34)</f>
        <v>0</v>
      </c>
      <c r="LP31" s="166"/>
      <c r="LQ31" s="49">
        <f>SUM(LQ32:LQ34)</f>
        <v>502500</v>
      </c>
      <c r="LR31" s="49"/>
      <c r="LS31" s="49">
        <f>SUM(LS32:LS34)</f>
        <v>-809949.09</v>
      </c>
      <c r="LT31" s="49"/>
      <c r="LU31" s="49">
        <f>SUM(LK31:LS31)</f>
        <v>37590494.859999999</v>
      </c>
      <c r="LV31" s="49"/>
      <c r="LW31" s="48" t="s">
        <v>145</v>
      </c>
      <c r="LX31" s="49">
        <f>SUM(LX32:LX34)</f>
        <v>27252490.50999999</v>
      </c>
      <c r="LY31" s="50"/>
      <c r="LZ31" s="49">
        <f>SUM(LZ32:LZ34)</f>
        <v>6506726.5800000057</v>
      </c>
      <c r="MA31" s="49"/>
      <c r="MB31" s="166">
        <f>SUM(MB32:MB34)</f>
        <v>0</v>
      </c>
      <c r="MC31" s="49"/>
      <c r="MD31" s="49">
        <f>SUM(MD32:MD34)</f>
        <v>502500</v>
      </c>
      <c r="ME31" s="49"/>
      <c r="MF31" s="49">
        <f>SUM(MF32:MF34)</f>
        <v>-733408.19</v>
      </c>
      <c r="MG31" s="49"/>
      <c r="MH31" s="49">
        <f>SUM(LX31:MF31)</f>
        <v>33528308.899999995</v>
      </c>
      <c r="MK31" s="48" t="s">
        <v>145</v>
      </c>
      <c r="ML31" s="49">
        <f>SUM(ML32:ML34)</f>
        <v>10400857.02000002</v>
      </c>
      <c r="MM31" s="50"/>
      <c r="MN31" s="49">
        <f>SUM(MN32:MN34)</f>
        <v>6346331.219999996</v>
      </c>
      <c r="MO31" s="49"/>
      <c r="MP31" s="166">
        <f>SUM(MP32:MP34)</f>
        <v>0</v>
      </c>
      <c r="MQ31" s="49"/>
      <c r="MR31" s="49">
        <f>SUM(MR32:MR34)</f>
        <v>502500</v>
      </c>
      <c r="MS31" s="49"/>
      <c r="MT31" s="49">
        <f>SUM(MT32:MT34)</f>
        <v>-751794.39000000013</v>
      </c>
      <c r="MU31" s="49"/>
      <c r="MV31" s="49">
        <f>SUM(ML31:MT31)</f>
        <v>16497893.850000016</v>
      </c>
      <c r="MY31" s="48" t="s">
        <v>145</v>
      </c>
      <c r="MZ31" s="49">
        <f>SUM(MZ32:MZ34)</f>
        <v>13972296.539999994</v>
      </c>
      <c r="NA31" s="50"/>
      <c r="NB31" s="49">
        <f>SUM(NB32:NB34)</f>
        <v>5032129.3000000007</v>
      </c>
      <c r="NC31" s="49"/>
      <c r="ND31" s="157">
        <f>SUM(ND32:ND34)</f>
        <v>0</v>
      </c>
      <c r="NE31" s="49"/>
      <c r="NF31" s="49">
        <f>SUM(NF32:NF34)</f>
        <v>444000</v>
      </c>
      <c r="NG31" s="49"/>
      <c r="NH31" s="49">
        <f>SUM(NH32:NH34)</f>
        <v>-640856.05999999994</v>
      </c>
      <c r="NI31" s="49"/>
      <c r="NJ31" s="49">
        <f>SUM(MZ31:NH31)</f>
        <v>18807569.779999997</v>
      </c>
      <c r="NL31" s="48" t="s">
        <v>145</v>
      </c>
      <c r="NM31" s="49">
        <f>SUM(NM32:NM34)</f>
        <v>60500442.350000001</v>
      </c>
      <c r="NN31" s="50"/>
      <c r="NO31" s="49">
        <f>SUM(NO32:NO34)</f>
        <v>5706255.9299999997</v>
      </c>
      <c r="NP31" s="49"/>
      <c r="NQ31" s="157">
        <f>SUM(NQ32:NQ34)</f>
        <v>0</v>
      </c>
      <c r="NR31" s="166"/>
      <c r="NS31" s="49">
        <f>SUM(NS32:NS34)</f>
        <v>561000</v>
      </c>
      <c r="NT31" s="49"/>
      <c r="NU31" s="49">
        <f>SUM(NU32:NU34)</f>
        <v>-814847.59</v>
      </c>
      <c r="NV31" s="49"/>
      <c r="NW31" s="49">
        <f>SUM(NM31:NU31)</f>
        <v>65952850.689999998</v>
      </c>
      <c r="NY31" s="48" t="s">
        <v>145</v>
      </c>
      <c r="NZ31" s="144">
        <f>SUM(NZ32:NZ34)</f>
        <v>18163592.02</v>
      </c>
      <c r="OA31" s="145"/>
      <c r="OB31" s="144">
        <f>SUM(OB32:OB34)</f>
        <v>6210751.2199999942</v>
      </c>
      <c r="OC31" s="144"/>
      <c r="OD31" s="161">
        <f>SUM(OD32:OD34)</f>
        <v>0</v>
      </c>
      <c r="OE31" s="144"/>
      <c r="OF31" s="144">
        <f>SUM(OF32:OF34)</f>
        <v>-429000</v>
      </c>
      <c r="OG31" s="144"/>
      <c r="OH31" s="144">
        <f>SUM(OH32:OH34)</f>
        <v>-98267.629999999888</v>
      </c>
      <c r="OI31" s="144"/>
      <c r="OJ31" s="144">
        <f>SUM(NZ31:OH31)</f>
        <v>23847075.609999996</v>
      </c>
      <c r="OK31" s="48"/>
      <c r="OL31" s="48" t="s">
        <v>145</v>
      </c>
      <c r="OM31" s="49">
        <f>SUM(OM32:OM34)</f>
        <v>5211293.3899999969</v>
      </c>
      <c r="ON31" s="50"/>
      <c r="OO31" s="49">
        <f>SUM(OO32:OO34)</f>
        <v>5430466.5700000031</v>
      </c>
      <c r="OP31" s="49"/>
      <c r="OQ31" s="131">
        <f>SUM(OQ32:OQ34)</f>
        <v>0</v>
      </c>
      <c r="OR31" s="49">
        <f>SUM(OR32:OR34)</f>
        <v>0</v>
      </c>
      <c r="OS31" s="49">
        <f>SUM(OS32:OS34)</f>
        <v>771000</v>
      </c>
      <c r="OT31" s="49"/>
      <c r="OU31" s="49">
        <f>SUM(OU32:OU34)</f>
        <v>-1275254.2999999998</v>
      </c>
      <c r="OV31" s="49"/>
      <c r="OW31" s="49">
        <f>SUM(OM31:OU31)</f>
        <v>10137505.66</v>
      </c>
      <c r="OX31" s="48"/>
      <c r="OY31" s="48" t="s">
        <v>145</v>
      </c>
      <c r="OZ31" s="49">
        <f>SUM(OZ32:OZ34)</f>
        <v>3882933.1499999934</v>
      </c>
      <c r="PA31" s="50"/>
      <c r="PB31" s="49">
        <f>SUM(PB32:PB34)</f>
        <v>4975412.2799999965</v>
      </c>
      <c r="PC31" s="49"/>
      <c r="PD31" s="131">
        <f>SUM(PD32:PD34)</f>
        <v>0</v>
      </c>
      <c r="PE31" s="49">
        <f>SUM(PE32:PE34)</f>
        <v>0</v>
      </c>
      <c r="PF31" s="49">
        <f>SUM(PF32:PF34)</f>
        <v>771000</v>
      </c>
      <c r="PG31" s="49"/>
      <c r="PH31" s="49">
        <f>SUM(PH32:PH34)</f>
        <v>-1227273.96</v>
      </c>
      <c r="PI31" s="49"/>
      <c r="PJ31" s="49">
        <f>SUM(OZ31:PH31)</f>
        <v>8402071.4699999914</v>
      </c>
      <c r="PK31" s="48"/>
      <c r="PL31" s="48" t="s">
        <v>145</v>
      </c>
      <c r="PM31" s="49">
        <f>SUM(PM32:PM34)</f>
        <v>29076020.490000002</v>
      </c>
      <c r="PN31" s="50"/>
      <c r="PO31" s="49">
        <f>SUM(PO32:PO34)</f>
        <v>5180330.41</v>
      </c>
      <c r="PP31" s="49"/>
      <c r="PQ31" s="131">
        <f>SUM(PQ32:PQ34)</f>
        <v>0</v>
      </c>
      <c r="PR31" s="49">
        <f>SUM(PR32:PR34)</f>
        <v>0</v>
      </c>
      <c r="PS31" s="49">
        <f>SUM(PS32:PS34)</f>
        <v>861000</v>
      </c>
      <c r="PT31" s="49"/>
      <c r="PU31" s="49">
        <f>SUM(PU32:PU34)</f>
        <v>-1086309.2699999996</v>
      </c>
      <c r="PV31" s="49"/>
      <c r="PW31" s="49">
        <f>SUM(PM31:PU31)</f>
        <v>34031041.63000001</v>
      </c>
      <c r="PX31" s="48"/>
      <c r="PY31" s="48" t="s">
        <v>145</v>
      </c>
      <c r="PZ31" s="49">
        <f>SUM(PZ32:PZ34)</f>
        <v>5559335.4199999962</v>
      </c>
      <c r="QA31" s="50"/>
      <c r="QB31" s="49">
        <f>SUM(QB32:QB34)</f>
        <v>5100973.0300000031</v>
      </c>
      <c r="QC31" s="49"/>
      <c r="QD31" s="49">
        <f>SUM(QD32:QD34)</f>
        <v>987294.16999999969</v>
      </c>
      <c r="QE31" s="49"/>
      <c r="QF31" s="49">
        <f>SUM(QF32:QF34)</f>
        <v>861000</v>
      </c>
      <c r="QG31" s="49"/>
      <c r="QH31" s="49">
        <f>SUM(QH32:QH34)</f>
        <v>-993518.68000000063</v>
      </c>
      <c r="QI31" s="49"/>
      <c r="QJ31" s="49">
        <f>SUM(PZ31:QH31)</f>
        <v>11515083.939999998</v>
      </c>
      <c r="QK31" s="48"/>
      <c r="QL31" s="48" t="s">
        <v>145</v>
      </c>
      <c r="QM31" s="49">
        <f>SUM(QM32:QM34)</f>
        <v>4420093.0900000008</v>
      </c>
      <c r="QN31" s="50"/>
      <c r="QO31" s="49">
        <f>SUM(QO32:QO34)</f>
        <v>5888251.8399999999</v>
      </c>
      <c r="QP31" s="49"/>
      <c r="QQ31" s="49">
        <f>SUM(QQ32:QQ34)</f>
        <v>940932.28999999992</v>
      </c>
      <c r="QR31" s="49">
        <f>SUM(QR32:QR34)</f>
        <v>0</v>
      </c>
      <c r="QS31" s="49">
        <f>SUM(QS32:QS34)</f>
        <v>861000</v>
      </c>
      <c r="QT31" s="49"/>
      <c r="QU31" s="49">
        <f>SUM(QU32:QU34)</f>
        <v>-2480286.5</v>
      </c>
      <c r="QV31" s="49"/>
      <c r="QW31" s="49">
        <f>SUM(QM31:QU31)</f>
        <v>9629990.7199999988</v>
      </c>
      <c r="QX31" s="48"/>
      <c r="QY31" s="48" t="s">
        <v>145</v>
      </c>
      <c r="QZ31" s="49">
        <f>SUM(QZ32:QZ34)</f>
        <v>3450339.8899999997</v>
      </c>
      <c r="RA31" s="50"/>
      <c r="RB31" s="49">
        <f>SUM(RB32:RB34)</f>
        <v>3468336.4299999997</v>
      </c>
      <c r="RC31" s="49"/>
      <c r="RD31" s="49">
        <f>SUM(RD32:RD34)</f>
        <v>841693.3</v>
      </c>
      <c r="RE31" s="49">
        <f>SUM(RE32:RE34)</f>
        <v>0</v>
      </c>
      <c r="RF31" s="49">
        <f>SUM(RF32:RF34)</f>
        <v>861000</v>
      </c>
      <c r="RG31" s="49"/>
      <c r="RH31" s="49">
        <f>SUM(RH32:RH34)</f>
        <v>-861000</v>
      </c>
      <c r="RI31" s="49"/>
      <c r="RJ31" s="49">
        <f>SUM(QZ31:RH31)</f>
        <v>7760369.6199999992</v>
      </c>
      <c r="RK31" s="48"/>
      <c r="RL31" s="48" t="s">
        <v>145</v>
      </c>
      <c r="RM31" s="49">
        <f>SUM(RM32:RM34)</f>
        <v>8826929.2200000063</v>
      </c>
      <c r="RN31" s="50"/>
      <c r="RO31" s="49">
        <f>SUM(RO32:RO34)</f>
        <v>7477362.5800000001</v>
      </c>
      <c r="RP31" s="49"/>
      <c r="RQ31" s="49">
        <f>SUM(RQ32:RQ34)</f>
        <v>987634.67000000039</v>
      </c>
      <c r="RR31" s="49">
        <f>SUM(RR32:RR34)</f>
        <v>0</v>
      </c>
      <c r="RS31" s="49">
        <f>SUM(RS32:RS34)</f>
        <v>1629106.0400000014</v>
      </c>
      <c r="RT31" s="49"/>
      <c r="RU31" s="49">
        <f>SUM(RU32:RU34)</f>
        <v>-4723206.040000001</v>
      </c>
      <c r="RV31" s="49"/>
      <c r="RW31" s="49">
        <f>SUM(RM31:RU31)</f>
        <v>14197826.470000008</v>
      </c>
      <c r="RX31" s="48"/>
      <c r="RY31" s="48" t="s">
        <v>145</v>
      </c>
      <c r="RZ31" s="49">
        <f>SUM(RZ32:RZ34)</f>
        <v>9870789.6299999952</v>
      </c>
      <c r="SA31" s="50"/>
      <c r="SB31" s="49">
        <f>SUM(SB32:SB34)</f>
        <v>4091114.41</v>
      </c>
      <c r="SC31" s="49"/>
      <c r="SD31" s="49">
        <f>SUM(SD32:SD34)</f>
        <v>597830.88999999966</v>
      </c>
      <c r="SE31" s="49">
        <f>SUM(SE32:SE34)</f>
        <v>0</v>
      </c>
      <c r="SF31" s="49">
        <f>SUM(SF32:SF34)</f>
        <v>1217116.6600000001</v>
      </c>
      <c r="SG31" s="49"/>
      <c r="SH31" s="49">
        <f>SUM(SH32:SH34)</f>
        <v>-1054517.1500000004</v>
      </c>
      <c r="SI31" s="49"/>
      <c r="SJ31" s="49">
        <f>SUM(RZ31:SH31)</f>
        <v>14722334.439999996</v>
      </c>
      <c r="SK31" s="48"/>
      <c r="SL31" s="48" t="s">
        <v>145</v>
      </c>
      <c r="SM31" s="49">
        <f>SUM(SM32:SM34)</f>
        <v>8390975.9000000004</v>
      </c>
      <c r="SN31" s="50"/>
      <c r="SO31" s="49">
        <f>SUM(SO32:SO34)</f>
        <v>4180165.2199999997</v>
      </c>
      <c r="SP31" s="49"/>
      <c r="SQ31" s="49">
        <f>SUM(SQ32:SQ34)</f>
        <v>874444.29</v>
      </c>
      <c r="SR31" s="49">
        <f>SUM(SR32:SR34)</f>
        <v>0</v>
      </c>
      <c r="SS31" s="49">
        <f>SUM(SS32:SS34)</f>
        <v>1617774.9899999998</v>
      </c>
      <c r="ST31" s="49"/>
      <c r="SU31" s="49">
        <f>SUM(SU32:SU34)</f>
        <v>-2441394.6799999997</v>
      </c>
      <c r="SV31" s="49"/>
      <c r="SW31" s="49">
        <f>SUM(SM31:SU31)</f>
        <v>12621965.720000001</v>
      </c>
      <c r="SX31" s="48"/>
      <c r="SY31" s="48" t="s">
        <v>145</v>
      </c>
      <c r="SZ31" s="49">
        <f>SUM(SZ32:SZ34)</f>
        <v>3798545.2799999993</v>
      </c>
      <c r="TA31" s="50"/>
      <c r="TB31" s="49">
        <f>SUM(TB32:TB34)</f>
        <v>3106848.4899999998</v>
      </c>
      <c r="TC31" s="49"/>
      <c r="TD31" s="49">
        <f>SUM(TD32:TD34)</f>
        <v>1086115.97</v>
      </c>
      <c r="TE31" s="49">
        <f>SUM(TE32:TE34)</f>
        <v>0</v>
      </c>
      <c r="TF31" s="49">
        <f>SUM(TF32:TF34)</f>
        <v>810000</v>
      </c>
      <c r="TG31" s="49"/>
      <c r="TH31" s="49">
        <f>SUM(TH32:TH34)</f>
        <v>-910500</v>
      </c>
      <c r="TI31" s="49"/>
      <c r="TJ31" s="49">
        <f>SUM(SZ31:TH31)</f>
        <v>7891009.7399999984</v>
      </c>
      <c r="TK31" s="48"/>
      <c r="TL31" s="48" t="s">
        <v>145</v>
      </c>
      <c r="TM31" s="49">
        <f>SUM(TM32:TM34)</f>
        <v>21569423.740000017</v>
      </c>
      <c r="TN31" s="50"/>
      <c r="TO31" s="49">
        <f>SUM(TO32:TO34)</f>
        <v>4101658.5299999989</v>
      </c>
      <c r="TP31" s="49"/>
      <c r="TQ31" s="49">
        <f>SUM(TQ32:TQ34)</f>
        <v>1104417.639999999</v>
      </c>
      <c r="TR31" s="49">
        <f>SUM(TR32:TR34)</f>
        <v>0</v>
      </c>
      <c r="TS31" s="49">
        <f>SUM(TS32:TS34)</f>
        <v>1184100</v>
      </c>
      <c r="TT31" s="49"/>
      <c r="TU31" s="49">
        <f>SUM(TU32:TU34)</f>
        <v>-2347261</v>
      </c>
      <c r="TV31" s="49"/>
      <c r="TW31" s="49">
        <f>SUM(TM31:TU31)</f>
        <v>25612338.910000015</v>
      </c>
      <c r="TX31" s="48"/>
      <c r="TY31" s="48" t="s">
        <v>145</v>
      </c>
      <c r="TZ31" s="49">
        <f>SUM(TZ32:TZ34)</f>
        <v>36895139.909999996</v>
      </c>
      <c r="UA31" s="50"/>
      <c r="UB31" s="49">
        <f>SUM(UB32:UB34)</f>
        <v>3029866.4300000034</v>
      </c>
      <c r="UC31" s="49"/>
      <c r="UD31" s="49">
        <f>SUM(UD32:UD34)</f>
        <v>1560365.0100000002</v>
      </c>
      <c r="UE31" s="49">
        <f>SUM(UE32:UE34)</f>
        <v>0</v>
      </c>
      <c r="UF31" s="49">
        <f>SUM(UF32:UF34)</f>
        <v>1184100</v>
      </c>
      <c r="UG31" s="49"/>
      <c r="UH31" s="49">
        <f>SUM(UH32:UH34)</f>
        <v>-1733144.9999999995</v>
      </c>
      <c r="UI31" s="49"/>
      <c r="UJ31" s="49">
        <f>SUM(TZ31:UH31)</f>
        <v>40936326.350000001</v>
      </c>
      <c r="UK31" s="48"/>
      <c r="UL31" s="48" t="s">
        <v>145</v>
      </c>
      <c r="UM31" s="49">
        <f>SUM(UM32:UM34)</f>
        <v>2999108.5500000007</v>
      </c>
      <c r="UN31" s="50"/>
      <c r="UO31" s="49">
        <f>SUM(UO32:UO34)</f>
        <v>3112829.439999999</v>
      </c>
      <c r="UP31" s="49"/>
      <c r="UQ31" s="49">
        <f>SUM(UQ32:UQ34)</f>
        <v>986607.47</v>
      </c>
      <c r="UR31" s="49">
        <f>SUM(UR32:UR34)</f>
        <v>0</v>
      </c>
      <c r="US31" s="49">
        <f>SUM(US32:US34)</f>
        <v>1163100</v>
      </c>
      <c r="UT31" s="49"/>
      <c r="UU31" s="49">
        <f>SUM(UU32:UU34)</f>
        <v>-1288612.49</v>
      </c>
      <c r="UV31" s="49"/>
      <c r="UW31" s="49">
        <f>SUM(UM31:UU31)</f>
        <v>6973032.9699999997</v>
      </c>
      <c r="UX31" s="48"/>
      <c r="UY31" s="48" t="s">
        <v>145</v>
      </c>
      <c r="UZ31" s="49">
        <f>SUM(UZ32:UZ34)</f>
        <v>6412438.0700000003</v>
      </c>
      <c r="VA31" s="50"/>
      <c r="VB31" s="49">
        <f>SUM(VB32:VB34)</f>
        <v>2820889.4</v>
      </c>
      <c r="VC31" s="49"/>
      <c r="VD31" s="49">
        <f>SUM(VD32:VD34)</f>
        <v>828988.82</v>
      </c>
      <c r="VE31" s="49">
        <f>SUM(VE32:VE34)</f>
        <v>0</v>
      </c>
      <c r="VF31" s="49">
        <f>SUM(VF32:VF34)</f>
        <v>1205100</v>
      </c>
      <c r="VG31" s="49"/>
      <c r="VH31" s="49">
        <f>SUM(VH32:VH34)</f>
        <v>-1190697.28</v>
      </c>
      <c r="VI31" s="49"/>
      <c r="VJ31" s="49">
        <f>SUM(UZ31:VH31)</f>
        <v>10076719.010000002</v>
      </c>
      <c r="VK31" s="48"/>
      <c r="VL31" s="48" t="s">
        <v>145</v>
      </c>
      <c r="VM31" s="49">
        <f>SUM(VM32:VM34)</f>
        <v>26308156.899999999</v>
      </c>
      <c r="VN31" s="50"/>
      <c r="VO31" s="49">
        <f>SUM(VO32:VO34)</f>
        <v>3001681.3599999994</v>
      </c>
      <c r="VP31" s="49"/>
      <c r="VQ31" s="49">
        <f>SUM(VQ32:VQ34)</f>
        <v>1518563.4799999993</v>
      </c>
      <c r="VR31" s="49">
        <f>SUM(VR32:VR34)</f>
        <v>0</v>
      </c>
      <c r="VS31" s="49">
        <f>SUM(VS32:VS34)</f>
        <v>1199244.5899999999</v>
      </c>
      <c r="VT31" s="49"/>
      <c r="VU31" s="49">
        <f>SUM(VU32:VU34)</f>
        <v>-2088540.5899999999</v>
      </c>
      <c r="VV31" s="49"/>
      <c r="VW31" s="49">
        <f>SUM(VM31:VU31)</f>
        <v>29939105.739999998</v>
      </c>
      <c r="VX31" s="48"/>
      <c r="VY31" s="48" t="s">
        <v>145</v>
      </c>
      <c r="VZ31" s="49">
        <f>SUM(VZ32:VZ34)</f>
        <v>15021238.559999993</v>
      </c>
      <c r="WA31" s="50"/>
      <c r="WB31" s="49">
        <f>SUM(WB32:WB34)</f>
        <v>4403786.5399999991</v>
      </c>
      <c r="WC31" s="49"/>
      <c r="WD31" s="49">
        <f>SUM(WD32:WD34)</f>
        <v>1228395.9999999995</v>
      </c>
      <c r="WE31" s="49">
        <f>SUM(WE32:WE34)</f>
        <v>0</v>
      </c>
      <c r="WF31" s="49">
        <f>SUM(WF32:WF34)</f>
        <v>1189502.6600000001</v>
      </c>
      <c r="WG31" s="49"/>
      <c r="WH31" s="49">
        <f>SUM(WH32:WH34)</f>
        <v>-1189502.6600000001</v>
      </c>
      <c r="WI31" s="49"/>
      <c r="WJ31" s="49">
        <f>SUM(VZ31:WH31)</f>
        <v>20653421.099999994</v>
      </c>
      <c r="WK31" s="48"/>
      <c r="WL31" s="48" t="s">
        <v>145</v>
      </c>
      <c r="WM31" s="49">
        <f>SUM(WM32:WM34)</f>
        <v>12893988.810000004</v>
      </c>
      <c r="WN31" s="50"/>
      <c r="WO31" s="49">
        <f>SUM(WO32:WO34)</f>
        <v>4601073.58</v>
      </c>
      <c r="WP31" s="49"/>
      <c r="WQ31" s="49">
        <f>SUM(WQ32:WQ34)</f>
        <v>1128246.7700000003</v>
      </c>
      <c r="WR31" s="49">
        <f>SUM(WR32:WR34)</f>
        <v>0</v>
      </c>
      <c r="WS31" s="49">
        <f>SUM(WS32:WS34)</f>
        <v>1320246.2600000002</v>
      </c>
      <c r="WT31" s="49"/>
      <c r="WU31" s="49">
        <f>SUM(WU32:WU34)</f>
        <v>-1320246.2600000002</v>
      </c>
      <c r="WV31" s="49"/>
      <c r="WW31" s="49">
        <f>SUM(WM31:WU31)</f>
        <v>18623309.160000004</v>
      </c>
      <c r="WX31" s="48"/>
      <c r="WY31" s="48" t="s">
        <v>145</v>
      </c>
      <c r="WZ31" s="49">
        <f>SUM(WZ32:WZ34)</f>
        <v>3619488.25</v>
      </c>
      <c r="XA31" s="50"/>
      <c r="XB31" s="49">
        <f>SUM(XB32:XB34)</f>
        <v>4043029.09</v>
      </c>
      <c r="XC31" s="49"/>
      <c r="XD31" s="49">
        <f>SUM(XD32:XD34)</f>
        <v>1172862.2300000002</v>
      </c>
      <c r="XE31" s="49">
        <f>SUM(XE32:XE34)</f>
        <v>0</v>
      </c>
      <c r="XF31" s="49">
        <f>SUM(XF32:XF34)</f>
        <v>1223607.73</v>
      </c>
      <c r="XG31" s="49"/>
      <c r="XH31" s="49">
        <f>SUM(XH32:XH34)</f>
        <v>-1223607.73</v>
      </c>
      <c r="XI31" s="49"/>
      <c r="XJ31" s="49">
        <f>SUM(WZ31:XH31)</f>
        <v>8835379.5700000003</v>
      </c>
      <c r="XL31" s="48" t="s">
        <v>145</v>
      </c>
      <c r="XM31" s="49">
        <f>SUM(XM32:XM34)</f>
        <v>24561969.017709184</v>
      </c>
      <c r="XN31" s="50"/>
      <c r="XO31" s="49">
        <f>SUM(XO32:XO34)</f>
        <v>5157688.9199999981</v>
      </c>
      <c r="XP31" s="49"/>
      <c r="XQ31" s="49">
        <f>SUM(XQ32:XQ34)</f>
        <v>1285117.0300000003</v>
      </c>
      <c r="XR31" s="49">
        <f>SUM(XR32:XR34)</f>
        <v>0</v>
      </c>
      <c r="XS31" s="49">
        <f>SUM(XS32:XS34)</f>
        <v>1259000.2122908253</v>
      </c>
      <c r="XT31" s="49"/>
      <c r="XU31" s="49">
        <f>SUM(XU32:XU34)</f>
        <v>-1259000.2122908253</v>
      </c>
      <c r="XV31" s="49"/>
      <c r="XW31" s="49">
        <f>SUM(XM31:XU31)</f>
        <v>31004774.967709184</v>
      </c>
      <c r="XX31" s="48"/>
      <c r="XY31" s="48"/>
      <c r="XZ31" s="49"/>
      <c r="YA31" s="50"/>
      <c r="YB31" s="49"/>
      <c r="YC31" s="49"/>
      <c r="YD31" s="49"/>
      <c r="YE31" s="49"/>
      <c r="YF31" s="49"/>
      <c r="YG31" s="49"/>
      <c r="YH31" s="49"/>
      <c r="YI31" s="49"/>
      <c r="YJ31" s="49"/>
    </row>
    <row r="32" spans="1:660">
      <c r="A32" s="51" t="s">
        <v>146</v>
      </c>
      <c r="B32" s="43"/>
      <c r="C32" s="52"/>
      <c r="F32" s="43"/>
      <c r="O32" s="51" t="s">
        <v>146</v>
      </c>
      <c r="P32" s="43"/>
      <c r="Q32" s="52"/>
      <c r="T32" s="43"/>
      <c r="AC32" s="51" t="s">
        <v>146</v>
      </c>
      <c r="AD32" s="43"/>
      <c r="AE32" s="52"/>
      <c r="AH32" s="43"/>
      <c r="AQ32" s="51" t="s">
        <v>146</v>
      </c>
      <c r="AR32" s="43">
        <f>AR6</f>
        <v>158000620.30000001</v>
      </c>
      <c r="AS32" s="52"/>
      <c r="AT32" s="43">
        <f>AT6</f>
        <v>11999256.9</v>
      </c>
      <c r="AV32" s="43">
        <f>AV6</f>
        <v>0</v>
      </c>
      <c r="AX32" s="43">
        <f>AX6</f>
        <v>0</v>
      </c>
      <c r="AZ32" s="43">
        <f>AZ6</f>
        <v>0</v>
      </c>
      <c r="BB32" s="43">
        <f>SUM(AR32:AZ32)</f>
        <v>169999877.20000002</v>
      </c>
      <c r="BE32" s="51" t="s">
        <v>146</v>
      </c>
      <c r="BF32" s="43">
        <f>BF6-BT6</f>
        <v>108886657.29000014</v>
      </c>
      <c r="BG32" s="52"/>
      <c r="BH32" s="43">
        <f>BH6-BV6</f>
        <v>12692913.619999994</v>
      </c>
      <c r="BJ32" s="43">
        <f>BJ6-BX6</f>
        <v>0</v>
      </c>
      <c r="BL32" s="43">
        <f>BL6-BZ6</f>
        <v>0</v>
      </c>
      <c r="BN32" s="43">
        <f>BN6-CB6</f>
        <v>0</v>
      </c>
      <c r="BP32" s="43">
        <f>SUM(BF32:BN32)</f>
        <v>121579570.91000013</v>
      </c>
      <c r="BS32" s="51" t="s">
        <v>146</v>
      </c>
      <c r="BT32" s="43">
        <f>BT6-CH6</f>
        <v>70482362.759999871</v>
      </c>
      <c r="BU32" s="52"/>
      <c r="BV32" s="43">
        <f>BV6-CJ6</f>
        <v>9549723.3200000003</v>
      </c>
      <c r="BX32" s="43">
        <f>BX6-CL6</f>
        <v>0</v>
      </c>
      <c r="BZ32" s="43">
        <f>BZ6-CN6</f>
        <v>0</v>
      </c>
      <c r="CB32" s="43">
        <f>CB6-CP6</f>
        <v>0</v>
      </c>
      <c r="CD32" s="43">
        <f>SUM(BT32:CB32)</f>
        <v>80032086.079999864</v>
      </c>
      <c r="CG32" s="51" t="s">
        <v>146</v>
      </c>
      <c r="CH32" s="43">
        <f>CH6-CV6</f>
        <v>46060762.340000063</v>
      </c>
      <c r="CI32" s="52"/>
      <c r="CJ32" s="43">
        <f>CJ6-CX6</f>
        <v>12541355.220000001</v>
      </c>
      <c r="CL32" s="43">
        <f>CL6-CZ6</f>
        <v>0</v>
      </c>
      <c r="CN32" s="43">
        <f>CN6-DB6</f>
        <v>0</v>
      </c>
      <c r="CP32" s="43">
        <f>CP6-DD6</f>
        <v>0</v>
      </c>
      <c r="CR32" s="43">
        <f>SUM(CH32:CP32)</f>
        <v>58602117.560000062</v>
      </c>
      <c r="CU32" s="51" t="s">
        <v>146</v>
      </c>
      <c r="CV32" s="43">
        <f>CV6</f>
        <v>201087742.66999999</v>
      </c>
      <c r="CW32" s="52"/>
      <c r="CX32" s="43">
        <f>CX6</f>
        <v>9880899.6100000013</v>
      </c>
      <c r="CZ32" s="43">
        <f>CZ6</f>
        <v>0</v>
      </c>
      <c r="DB32" s="43">
        <f>DB6</f>
        <v>0</v>
      </c>
      <c r="DD32" s="43">
        <f>DD6</f>
        <v>0</v>
      </c>
      <c r="DF32" s="43">
        <f>SUM(CV32:DD32)</f>
        <v>210968642.28</v>
      </c>
      <c r="DI32" s="51" t="s">
        <v>146</v>
      </c>
      <c r="DJ32" s="43">
        <f>DJ6-DX6</f>
        <v>89055216.194528103</v>
      </c>
      <c r="DK32" s="52"/>
      <c r="DL32" s="43">
        <f>DL6-DZ6</f>
        <v>9939425.1400000043</v>
      </c>
      <c r="DN32" s="43">
        <f>DN6-EB6</f>
        <v>0</v>
      </c>
      <c r="DP32" s="43">
        <f>DP6-ED6</f>
        <v>0</v>
      </c>
      <c r="DR32" s="43">
        <f>DR6-EF6</f>
        <v>0</v>
      </c>
      <c r="DT32" s="43">
        <f>SUM(DJ32:DR32)</f>
        <v>98994641.334528103</v>
      </c>
      <c r="DW32" s="51" t="s">
        <v>146</v>
      </c>
      <c r="DX32" s="43">
        <f>DX6-EL6</f>
        <v>45318510.968444154</v>
      </c>
      <c r="DY32" s="52"/>
      <c r="DZ32" s="43">
        <f>DZ6-EN6</f>
        <v>8092226.299999997</v>
      </c>
      <c r="EB32" s="43">
        <f>EB6-EP6</f>
        <v>0</v>
      </c>
      <c r="ED32" s="43">
        <f>ED6-ER6</f>
        <v>0</v>
      </c>
      <c r="EF32" s="43">
        <f>EF6-ET6</f>
        <v>0</v>
      </c>
      <c r="EH32" s="43">
        <f>SUM(DX32:EF32)</f>
        <v>53410737.268444151</v>
      </c>
      <c r="EK32" s="51" t="s">
        <v>146</v>
      </c>
      <c r="EL32" s="43">
        <f>EL6-EZ6</f>
        <v>31572902.021555856</v>
      </c>
      <c r="EM32" s="52"/>
      <c r="EN32" s="43">
        <f>EN6-FB6</f>
        <v>10723460.930000003</v>
      </c>
      <c r="EP32" s="43">
        <f>EP6-FD6</f>
        <v>0</v>
      </c>
      <c r="ER32" s="43">
        <f>ER6-FF6</f>
        <v>0</v>
      </c>
      <c r="ET32" s="43">
        <f>ET6-FH6</f>
        <v>0</v>
      </c>
      <c r="EV32" s="43">
        <f>SUM(EL32:ET32)</f>
        <v>42296362.951555863</v>
      </c>
      <c r="EY32" s="51" t="s">
        <v>146</v>
      </c>
      <c r="EZ32" s="43">
        <f>EZ6</f>
        <v>84724494.640000015</v>
      </c>
      <c r="FA32" s="52"/>
      <c r="FB32" s="43">
        <f>FB6</f>
        <v>7568525.0699999994</v>
      </c>
      <c r="FD32" s="43">
        <f>FD6</f>
        <v>0</v>
      </c>
      <c r="FF32" s="43">
        <f>FF6</f>
        <v>0</v>
      </c>
      <c r="FH32" s="43">
        <f>FH6</f>
        <v>0</v>
      </c>
      <c r="FJ32" s="43">
        <f>SUM(EZ32:FH32)</f>
        <v>92293019.710000008</v>
      </c>
      <c r="FM32" s="51" t="s">
        <v>146</v>
      </c>
      <c r="FN32" s="43">
        <f>FN6-GB6</f>
        <v>39426987.346572131</v>
      </c>
      <c r="FO32" s="52"/>
      <c r="FP32" s="43">
        <f t="shared" ref="FP32:FP34" si="43">FP6-GD6</f>
        <v>6388104.450000003</v>
      </c>
      <c r="FR32" s="43">
        <f t="shared" ref="FR32:FR34" si="44">FR6-GF6</f>
        <v>0</v>
      </c>
      <c r="FT32" s="43">
        <f t="shared" ref="FT32:FT34" si="45">FT6-GH6</f>
        <v>0</v>
      </c>
      <c r="FV32" s="43">
        <f t="shared" ref="FV32:FV34" si="46">FV6-GJ6</f>
        <v>0</v>
      </c>
      <c r="FX32" s="43">
        <f>SUM(FN32:FV32)</f>
        <v>45815091.796572134</v>
      </c>
      <c r="GA32" s="51" t="s">
        <v>146</v>
      </c>
      <c r="GB32" s="43">
        <f>GB6-GP6</f>
        <v>16151852.371723004</v>
      </c>
      <c r="GC32" s="52"/>
      <c r="GD32" s="43">
        <f t="shared" ref="GD32:GD34" si="47">GD6-GR6</f>
        <v>7234239.6582999974</v>
      </c>
      <c r="GF32" s="43">
        <f t="shared" ref="GF32:GF34" si="48">GF6-GT6</f>
        <v>0</v>
      </c>
      <c r="GH32" s="43">
        <f t="shared" ref="GH32:GH34" si="49">GH6-GV6</f>
        <v>0</v>
      </c>
      <c r="GJ32" s="43">
        <f t="shared" ref="GJ32:GJ34" si="50">GJ6-GX6</f>
        <v>0</v>
      </c>
      <c r="GL32" s="43">
        <f>SUM(GB32:GJ32)</f>
        <v>23386092.030023001</v>
      </c>
      <c r="GO32" s="51" t="s">
        <v>146</v>
      </c>
      <c r="GP32" s="43">
        <f>GP6-HD6</f>
        <v>23409439.828277003</v>
      </c>
      <c r="GQ32" s="52"/>
      <c r="GR32" s="43">
        <f t="shared" ref="GR32:GR34" si="51">GR6-HF6</f>
        <v>7870761.001699999</v>
      </c>
      <c r="GT32" s="43">
        <f t="shared" ref="GT32:GT34" si="52">GT6-HH6</f>
        <v>0</v>
      </c>
      <c r="GV32" s="43">
        <f t="shared" ref="GV32:GV34" si="53">GV6-HJ6</f>
        <v>0</v>
      </c>
      <c r="GX32" s="43">
        <f t="shared" ref="GX32:GX34" si="54">GX6-HL6</f>
        <v>0</v>
      </c>
      <c r="GZ32" s="43">
        <f>SUM(GP32:GX32)</f>
        <v>31280200.829977002</v>
      </c>
      <c r="HC32" s="51" t="s">
        <v>146</v>
      </c>
      <c r="HD32" s="43">
        <f>HD6</f>
        <v>28220172.34</v>
      </c>
      <c r="HE32" s="52"/>
      <c r="HF32" s="43">
        <f>HF6</f>
        <v>7179267.75</v>
      </c>
      <c r="HH32" s="43">
        <f>HH6</f>
        <v>0</v>
      </c>
      <c r="HJ32" s="43">
        <f>HJ6</f>
        <v>0</v>
      </c>
      <c r="HL32" s="43">
        <f>HL6</f>
        <v>0</v>
      </c>
      <c r="HN32" s="43">
        <f>SUM(HD32:HL32)</f>
        <v>35399440.090000004</v>
      </c>
      <c r="HQ32" s="51" t="s">
        <v>146</v>
      </c>
      <c r="HR32" s="43">
        <f>HR6-IF6</f>
        <v>44301409.330000006</v>
      </c>
      <c r="HS32" s="52"/>
      <c r="HT32" s="43">
        <f>HT6-IH6</f>
        <v>7427986.6999999993</v>
      </c>
      <c r="HV32" s="43">
        <f>HV6-IJ6</f>
        <v>0</v>
      </c>
      <c r="HX32" s="43">
        <f>HX6-IL6</f>
        <v>0</v>
      </c>
      <c r="HZ32" s="43">
        <f>HZ6-IN6</f>
        <v>0</v>
      </c>
      <c r="IB32" s="43">
        <f>SUM(HR32:HZ32)</f>
        <v>51729396.030000001</v>
      </c>
      <c r="IE32" s="51" t="s">
        <v>146</v>
      </c>
      <c r="IF32" s="43">
        <f>IF6-IT6</f>
        <v>8438206.0299999937</v>
      </c>
      <c r="IG32" s="52"/>
      <c r="IH32" s="43">
        <f>IH6-IV6</f>
        <v>6661334.3300000019</v>
      </c>
      <c r="IJ32" s="43">
        <f>IJ6-IX6</f>
        <v>0</v>
      </c>
      <c r="IL32" s="43">
        <f>IL6-IZ6</f>
        <v>0</v>
      </c>
      <c r="IN32" s="43">
        <f t="shared" ref="IN32:IN34" si="55">IN6-JB6</f>
        <v>0</v>
      </c>
      <c r="IP32" s="43">
        <f>SUM(IF32:IN32)</f>
        <v>15099540.359999996</v>
      </c>
      <c r="IS32" s="51" t="s">
        <v>146</v>
      </c>
      <c r="IT32" s="43">
        <f>IT6-JH6</f>
        <v>19754456.139999997</v>
      </c>
      <c r="IU32" s="52"/>
      <c r="IV32" s="43">
        <f>IV6-JJ6</f>
        <v>6832518.0299999993</v>
      </c>
      <c r="IX32" s="43">
        <f>IX6-JL6</f>
        <v>0</v>
      </c>
      <c r="IZ32" s="43">
        <f>IZ6-JN6</f>
        <v>0</v>
      </c>
      <c r="JB32" s="43">
        <f>JB6-JP6</f>
        <v>0</v>
      </c>
      <c r="JD32" s="43">
        <f>SUM(IT32:JB32)</f>
        <v>26586974.169999994</v>
      </c>
      <c r="JG32" s="51" t="s">
        <v>146</v>
      </c>
      <c r="JH32" s="43">
        <f>JH6</f>
        <v>27343845.940000001</v>
      </c>
      <c r="JI32" s="52"/>
      <c r="JJ32" s="43">
        <f>JJ6</f>
        <v>5586198.8800000008</v>
      </c>
      <c r="JL32" s="43">
        <f>JL6</f>
        <v>0</v>
      </c>
      <c r="JN32" s="43">
        <f>JN6</f>
        <v>0</v>
      </c>
      <c r="JP32" s="43">
        <f>JP6</f>
        <v>0</v>
      </c>
      <c r="JR32" s="43">
        <f>SUM(JH32:JP32)</f>
        <v>32930044.82</v>
      </c>
      <c r="JU32" s="51" t="s">
        <v>146</v>
      </c>
      <c r="JV32" s="43">
        <f>JV6-KJ6</f>
        <v>21985651.930000007</v>
      </c>
      <c r="JW32" s="52"/>
      <c r="JX32" s="43">
        <f>JX6-KL6</f>
        <v>6483247.5</v>
      </c>
      <c r="JZ32" s="43">
        <f>JZ6-KN6</f>
        <v>0</v>
      </c>
      <c r="KB32" s="43">
        <f>KB6-KP6</f>
        <v>0</v>
      </c>
      <c r="KD32" s="43">
        <f>KD6-KR6</f>
        <v>0</v>
      </c>
      <c r="KF32" s="43">
        <f>SUM(JV32:KD32)</f>
        <v>28468899.430000007</v>
      </c>
      <c r="KI32" s="51" t="s">
        <v>146</v>
      </c>
      <c r="KJ32" s="43">
        <f>KJ6-KX6</f>
        <v>16562427.389999986</v>
      </c>
      <c r="KK32" s="52"/>
      <c r="KL32" s="43">
        <f t="shared" ref="KL32:KL34" si="56">KL6-KZ6</f>
        <v>5399715.5700000022</v>
      </c>
      <c r="KN32" s="43">
        <f t="shared" ref="KN32:KN34" si="57">KN6-LB6</f>
        <v>0</v>
      </c>
      <c r="KP32" s="43">
        <f t="shared" ref="KP32:KP34" si="58">KP6-LD6</f>
        <v>0</v>
      </c>
      <c r="KR32" s="43">
        <f t="shared" ref="KR32:KR34" si="59">KR6-LF6</f>
        <v>0</v>
      </c>
      <c r="KT32" s="43">
        <f>SUM(KJ32:KR32)</f>
        <v>21962142.959999986</v>
      </c>
      <c r="KW32" s="51" t="s">
        <v>146</v>
      </c>
      <c r="KX32" s="43">
        <f>KX6-LK6</f>
        <v>28889090.59</v>
      </c>
      <c r="KY32" s="52"/>
      <c r="KZ32" s="43">
        <f>KZ6-LM6</f>
        <v>7555632.7400000002</v>
      </c>
      <c r="LB32" s="43">
        <f>LB6-LO6</f>
        <v>0</v>
      </c>
      <c r="LD32" s="43">
        <f>LD6-LQ6</f>
        <v>0</v>
      </c>
      <c r="LF32" s="43">
        <f>LF6-LS6</f>
        <v>0</v>
      </c>
      <c r="LH32" s="43">
        <f>SUM(KX32:LF32)</f>
        <v>36444723.329999998</v>
      </c>
      <c r="LJ32" s="51" t="s">
        <v>146</v>
      </c>
      <c r="LK32" s="43">
        <f>LK6</f>
        <v>29299363.470000003</v>
      </c>
      <c r="LL32" s="52"/>
      <c r="LM32" s="43">
        <f t="shared" ref="LM32:LM34" si="60">LM6</f>
        <v>7351920.0399999991</v>
      </c>
      <c r="LO32" s="43">
        <f t="shared" ref="LO32:LO34" si="61">LO6</f>
        <v>0</v>
      </c>
      <c r="LP32" s="164"/>
      <c r="LQ32" s="43">
        <f t="shared" ref="LQ32:LQ34" si="62">LQ6</f>
        <v>0</v>
      </c>
      <c r="LS32" s="43">
        <f t="shared" ref="LS32:LS35" si="63">LS6</f>
        <v>0</v>
      </c>
      <c r="LU32" s="43">
        <f>SUM(LK32:LS32)</f>
        <v>36651283.510000005</v>
      </c>
      <c r="LW32" s="51" t="s">
        <v>146</v>
      </c>
      <c r="LX32" s="43">
        <f>LX6-ML6</f>
        <v>27151782.179999992</v>
      </c>
      <c r="LY32" s="52"/>
      <c r="LZ32" s="43">
        <f>LZ6-MN6</f>
        <v>6105046.6700000055</v>
      </c>
      <c r="MB32" s="43">
        <f>MB6-MP6</f>
        <v>0</v>
      </c>
      <c r="MD32" s="43">
        <f>MD6-MR6</f>
        <v>0</v>
      </c>
      <c r="MF32" s="43">
        <f>MF6-MT6</f>
        <v>0</v>
      </c>
      <c r="MH32" s="43">
        <f>SUM(LX32:MF32)</f>
        <v>33256828.849999998</v>
      </c>
      <c r="MK32" s="51" t="s">
        <v>146</v>
      </c>
      <c r="ML32" s="43">
        <f>ML6-MZ6</f>
        <v>10263525.26000002</v>
      </c>
      <c r="MM32" s="52"/>
      <c r="MN32" s="43">
        <f t="shared" ref="MN32:MN34" si="64">MN6-NB6</f>
        <v>5657367.3399999961</v>
      </c>
      <c r="MP32" s="43">
        <f t="shared" ref="MP32:MP34" si="65">MP6-ND6</f>
        <v>0</v>
      </c>
      <c r="MR32" s="43">
        <f t="shared" ref="MR32:MR34" si="66">MR6-NF6</f>
        <v>0</v>
      </c>
      <c r="MT32" s="43">
        <f t="shared" ref="MT32:MT34" si="67">MT6-NH6</f>
        <v>0</v>
      </c>
      <c r="MV32" s="43">
        <f>SUM(ML32:MT32)</f>
        <v>15920892.600000016</v>
      </c>
      <c r="MY32" s="51" t="s">
        <v>146</v>
      </c>
      <c r="MZ32" s="43">
        <f>MZ6-NM6</f>
        <v>13896871.889999993</v>
      </c>
      <c r="NA32" s="52"/>
      <c r="NB32" s="43">
        <f>NB6-NO6</f>
        <v>4354113.540000001</v>
      </c>
      <c r="ND32" s="43">
        <f>ND6-NQ6</f>
        <v>0</v>
      </c>
      <c r="NF32" s="43">
        <f>NF6-NS6</f>
        <v>0</v>
      </c>
      <c r="NH32" s="43">
        <f>NH6-NU6</f>
        <v>0</v>
      </c>
      <c r="NJ32" s="43">
        <f>SUM(MZ32:NH32)</f>
        <v>18250985.429999992</v>
      </c>
      <c r="NL32" s="51" t="s">
        <v>146</v>
      </c>
      <c r="NM32" s="43">
        <f>NM6</f>
        <v>60379495.32</v>
      </c>
      <c r="NN32" s="52"/>
      <c r="NO32" s="43">
        <f>NO6</f>
        <v>4855131.76</v>
      </c>
      <c r="NQ32" s="43">
        <f>NQ6</f>
        <v>0</v>
      </c>
      <c r="NR32" s="164"/>
      <c r="NS32" s="43">
        <f>NS6</f>
        <v>0</v>
      </c>
      <c r="NU32" s="43">
        <f>NU6</f>
        <v>0</v>
      </c>
      <c r="NW32" s="43">
        <f>SUM(NM32:NU32)</f>
        <v>65234627.079999998</v>
      </c>
      <c r="NY32" s="51" t="s">
        <v>146</v>
      </c>
      <c r="NZ32" s="43">
        <f>NZ6-OM6</f>
        <v>17969194.82</v>
      </c>
      <c r="OA32" s="52"/>
      <c r="OB32" s="43">
        <f>OB6-OO6</f>
        <v>4831206.5099999942</v>
      </c>
      <c r="OD32" s="156">
        <f>OD6-OQ6</f>
        <v>0</v>
      </c>
      <c r="OF32" s="43">
        <f>OF6-OS6</f>
        <v>0</v>
      </c>
      <c r="OH32" s="43">
        <f>OH6-OU6</f>
        <v>0</v>
      </c>
      <c r="OJ32" s="43">
        <f>SUM(NZ32:OH32)</f>
        <v>22800401.329999994</v>
      </c>
      <c r="OL32" s="51" t="s">
        <v>146</v>
      </c>
      <c r="OM32" s="43">
        <f>OM6-OZ6</f>
        <v>5131771.6599999964</v>
      </c>
      <c r="ON32" s="52"/>
      <c r="OO32" s="43">
        <f>OO6-PB6</f>
        <v>4385028.1800000034</v>
      </c>
      <c r="OQ32" s="130">
        <f>OQ6-PD6</f>
        <v>0</v>
      </c>
      <c r="OS32" s="43">
        <f>OS6-PF6</f>
        <v>0</v>
      </c>
      <c r="OU32" s="43">
        <f>OU6-PH6</f>
        <v>0</v>
      </c>
      <c r="OW32" s="43">
        <f>SUM(OM32:OU32)</f>
        <v>9516799.8399999999</v>
      </c>
      <c r="OY32" s="51" t="s">
        <v>146</v>
      </c>
      <c r="OZ32" s="43">
        <f>OZ6-PM6</f>
        <v>3793090.7099999934</v>
      </c>
      <c r="PA32" s="52"/>
      <c r="PB32" s="43">
        <f>PB6-PO6</f>
        <v>3905978.9099999964</v>
      </c>
      <c r="PD32" s="130">
        <f>PD6-PQ6</f>
        <v>0</v>
      </c>
      <c r="PF32" s="43">
        <f>PF6-PS6</f>
        <v>0</v>
      </c>
      <c r="PH32" s="43">
        <f>PH6-PU6</f>
        <v>0</v>
      </c>
      <c r="PJ32" s="43">
        <f>SUM(OZ32:PH32)</f>
        <v>7699069.6199999899</v>
      </c>
      <c r="PL32" s="51" t="s">
        <v>146</v>
      </c>
      <c r="PM32" s="43">
        <f>PM6-PZ6-QD6</f>
        <v>28972434.040000003</v>
      </c>
      <c r="PN32" s="52"/>
      <c r="PO32" s="43">
        <f>PO6-QB6</f>
        <v>4287985.6400000006</v>
      </c>
      <c r="PQ32" s="130">
        <v>0</v>
      </c>
      <c r="PS32" s="43">
        <f>PS6-QF6</f>
        <v>0</v>
      </c>
      <c r="PU32" s="43">
        <f>PU6-QH6</f>
        <v>0</v>
      </c>
      <c r="PW32" s="43">
        <f>SUM(PM32:PU32)</f>
        <v>33260419.680000003</v>
      </c>
      <c r="PY32" s="51" t="s">
        <v>146</v>
      </c>
      <c r="PZ32" s="43">
        <f>PZ6-QM6</f>
        <v>5559335.4199999962</v>
      </c>
      <c r="QA32" s="52"/>
      <c r="QB32" s="43">
        <f>QB6-QO6</f>
        <v>4582083.0100000035</v>
      </c>
      <c r="QD32" s="43">
        <f>QD6-QQ6</f>
        <v>958404.38999999966</v>
      </c>
      <c r="QF32" s="43">
        <f>QF6-QS6</f>
        <v>0</v>
      </c>
      <c r="QH32" s="43">
        <f>QH6-QU6</f>
        <v>0</v>
      </c>
      <c r="QJ32" s="43">
        <f>SUM(PZ32:QH32)</f>
        <v>11099822.82</v>
      </c>
      <c r="QL32" s="51" t="s">
        <v>146</v>
      </c>
      <c r="QM32" s="43">
        <f>QM6-QZ6</f>
        <v>4420093.0900000008</v>
      </c>
      <c r="QN32" s="52"/>
      <c r="QO32" s="43">
        <f>QO6-RB6</f>
        <v>3825265.74</v>
      </c>
      <c r="QQ32" s="43">
        <f>QQ6-RD6</f>
        <v>884366.96</v>
      </c>
      <c r="QS32" s="43">
        <f>QS6-RF6</f>
        <v>0</v>
      </c>
      <c r="QU32" s="43">
        <f>QU6-RH6</f>
        <v>0</v>
      </c>
      <c r="QW32" s="43">
        <f>SUM(QM32:QU32)</f>
        <v>9129725.790000001</v>
      </c>
      <c r="QY32" s="51" t="s">
        <v>146</v>
      </c>
      <c r="QZ32" s="43">
        <f>QZ6</f>
        <v>3450339.8899999997</v>
      </c>
      <c r="RA32" s="52"/>
      <c r="RB32" s="43">
        <f>RB6</f>
        <v>3291678.4299999997</v>
      </c>
      <c r="RD32" s="43">
        <f>RD6</f>
        <v>777625.31</v>
      </c>
      <c r="RF32" s="43">
        <f>RF6</f>
        <v>0</v>
      </c>
      <c r="RH32" s="43">
        <f>RH6</f>
        <v>0</v>
      </c>
      <c r="RJ32" s="43">
        <f>SUM(QZ32:RH32)</f>
        <v>7519643.629999999</v>
      </c>
      <c r="RL32" s="51" t="s">
        <v>146</v>
      </c>
      <c r="RM32" s="43">
        <f>RM6-RZ6</f>
        <v>8826929.2200000063</v>
      </c>
      <c r="RN32" s="52"/>
      <c r="RO32" s="43">
        <f>RO6-SB6</f>
        <v>4108050.34</v>
      </c>
      <c r="RQ32" s="43">
        <f>RQ6-SD6</f>
        <v>882891.11000000034</v>
      </c>
      <c r="RS32" s="43">
        <f>RS6-SF6</f>
        <v>0</v>
      </c>
      <c r="RU32" s="43">
        <f>RU6-SH6</f>
        <v>0</v>
      </c>
      <c r="RW32" s="43">
        <f>SUM(RM32:RU32)</f>
        <v>13817870.670000006</v>
      </c>
      <c r="RY32" s="51" t="s">
        <v>146</v>
      </c>
      <c r="RZ32" s="43">
        <f>RZ6-SM6</f>
        <v>9870789.6299999952</v>
      </c>
      <c r="SA32" s="52"/>
      <c r="SB32" s="43">
        <f>SB6-SO6</f>
        <v>3779145.88</v>
      </c>
      <c r="SD32" s="43">
        <f>SD6-SQ6</f>
        <v>688473.71999999974</v>
      </c>
      <c r="SF32" s="43">
        <f>SF6-SS6</f>
        <v>0</v>
      </c>
      <c r="SH32" s="43">
        <f>SH6-SU6</f>
        <v>0</v>
      </c>
      <c r="SJ32" s="43">
        <f>SUM(RZ32:SH32)</f>
        <v>14338409.229999993</v>
      </c>
      <c r="SL32" s="51" t="s">
        <v>146</v>
      </c>
      <c r="SM32" s="43">
        <f>SM6-SZ6</f>
        <v>8390975.9000000004</v>
      </c>
      <c r="SN32" s="52"/>
      <c r="SO32" s="43">
        <f>SO6-TB6</f>
        <v>3073980.8599999994</v>
      </c>
      <c r="SQ32" s="43">
        <f>SQ6-TD6</f>
        <v>681071.07000000007</v>
      </c>
      <c r="SS32" s="43">
        <f>SS6-TF6</f>
        <v>0</v>
      </c>
      <c r="SU32" s="43">
        <f>SU6-TH6</f>
        <v>0</v>
      </c>
      <c r="SW32" s="43">
        <f>SUM(SM32:SU32)</f>
        <v>12146027.83</v>
      </c>
      <c r="SY32" s="51" t="s">
        <v>146</v>
      </c>
      <c r="SZ32" s="43">
        <f>SZ6</f>
        <v>3798545.2799999993</v>
      </c>
      <c r="TA32" s="52"/>
      <c r="TB32" s="43">
        <f>TB6</f>
        <v>2914835.5599999996</v>
      </c>
      <c r="TD32" s="43">
        <f>TD6</f>
        <v>991803.67999999993</v>
      </c>
      <c r="TF32" s="43">
        <f>TF6</f>
        <v>0</v>
      </c>
      <c r="TH32" s="43">
        <f>TH6</f>
        <v>0</v>
      </c>
      <c r="TJ32" s="43">
        <f>SUM(SZ32:TH32)</f>
        <v>7705184.5199999986</v>
      </c>
      <c r="TL32" s="51" t="s">
        <v>146</v>
      </c>
      <c r="TM32" s="43">
        <f>TM6-TZ6</f>
        <v>21569423.740000017</v>
      </c>
      <c r="TN32" s="52"/>
      <c r="TO32" s="43">
        <f>TO6-UB6</f>
        <v>3125976.629999999</v>
      </c>
      <c r="TQ32" s="43">
        <f>TQ6-UD6</f>
        <v>888666.83999999892</v>
      </c>
      <c r="TS32" s="43">
        <f>TS6-UF6</f>
        <v>0</v>
      </c>
      <c r="TU32" s="43">
        <f>TU6-UH6</f>
        <v>0</v>
      </c>
      <c r="TW32" s="43">
        <f>SUM(TM32:TU32)</f>
        <v>25584067.210000016</v>
      </c>
      <c r="TY32" s="51" t="s">
        <v>146</v>
      </c>
      <c r="TZ32" s="43">
        <f>TZ6-UM6</f>
        <v>36895139.909999996</v>
      </c>
      <c r="UA32" s="52"/>
      <c r="UB32" s="43">
        <f>UB6-UO6</f>
        <v>2406184.2700000033</v>
      </c>
      <c r="UD32" s="43">
        <f>UD6-UQ6</f>
        <v>920064.10000000009</v>
      </c>
      <c r="UF32" s="43">
        <f>UF6-US6</f>
        <v>0</v>
      </c>
      <c r="UH32" s="43">
        <f>UH6-UU6</f>
        <v>0</v>
      </c>
      <c r="UJ32" s="43">
        <f>SUM(TZ32:UH32)</f>
        <v>40221388.280000001</v>
      </c>
      <c r="UL32" s="51" t="s">
        <v>146</v>
      </c>
      <c r="UM32" s="43">
        <f>UM6-UZ6</f>
        <v>3001288.5500000007</v>
      </c>
      <c r="UN32" s="52"/>
      <c r="UO32" s="43">
        <f>UO6-VB6</f>
        <v>3056678.0499999993</v>
      </c>
      <c r="UQ32" s="43">
        <f>UQ6-VD6</f>
        <v>827576.92</v>
      </c>
      <c r="US32" s="43">
        <f>US6-VF6</f>
        <v>-14400</v>
      </c>
      <c r="UU32" s="43">
        <f>UU6-VH6</f>
        <v>0</v>
      </c>
      <c r="UW32" s="43">
        <f>SUM(UM32:UU32)</f>
        <v>6871143.5199999996</v>
      </c>
      <c r="UY32" s="51" t="s">
        <v>146</v>
      </c>
      <c r="UZ32" s="43">
        <f>UZ6</f>
        <v>6366258.0700000003</v>
      </c>
      <c r="VA32" s="52"/>
      <c r="VB32" s="43">
        <f>VB6</f>
        <v>2820889.4</v>
      </c>
      <c r="VD32" s="43">
        <f>VD6</f>
        <v>817621.12</v>
      </c>
      <c r="VF32" s="43">
        <f>VF6</f>
        <v>14400</v>
      </c>
      <c r="VH32" s="43">
        <f>VH6</f>
        <v>0</v>
      </c>
      <c r="VJ32" s="43">
        <f>SUM(UZ32:VH32)</f>
        <v>10019168.59</v>
      </c>
      <c r="VL32" s="51" t="s">
        <v>146</v>
      </c>
      <c r="VM32" s="43">
        <f>VM6-VZ6</f>
        <v>26308156.899999999</v>
      </c>
      <c r="VN32" s="52"/>
      <c r="VO32" s="43">
        <f>VO6-WB6</f>
        <v>3001681.3599999994</v>
      </c>
      <c r="VQ32" s="43">
        <f>VQ6-WD6</f>
        <v>169509.23999999929</v>
      </c>
      <c r="VS32" s="43">
        <f>VS6-WF6</f>
        <v>0</v>
      </c>
      <c r="VU32" s="43">
        <f>VU6-WH6</f>
        <v>0</v>
      </c>
      <c r="VW32" s="43">
        <f>SUM(VM32:VU32)</f>
        <v>29479347.499999996</v>
      </c>
      <c r="VY32" s="51" t="s">
        <v>146</v>
      </c>
      <c r="VZ32" s="43">
        <f>VZ6-WM6</f>
        <v>15021238.559999993</v>
      </c>
      <c r="WA32" s="52"/>
      <c r="WB32" s="43">
        <f>WB6-WO6</f>
        <v>4403786.5399999991</v>
      </c>
      <c r="WD32" s="43">
        <f>WD6-WQ6</f>
        <v>1228395.9999999995</v>
      </c>
      <c r="WF32" s="43">
        <f>WF6-WS6</f>
        <v>0</v>
      </c>
      <c r="WH32" s="43">
        <f>WH6-WU6</f>
        <v>0</v>
      </c>
      <c r="WJ32" s="43">
        <f>SUM(VZ32:WH32)</f>
        <v>20653421.099999994</v>
      </c>
      <c r="WL32" s="51" t="s">
        <v>146</v>
      </c>
      <c r="WM32" s="43">
        <f>WM6-WZ6</f>
        <v>12893988.810000004</v>
      </c>
      <c r="WN32" s="52"/>
      <c r="WO32" s="43">
        <f>WO6-XB6</f>
        <v>4601073.58</v>
      </c>
      <c r="WQ32" s="43">
        <f>WQ6-XD6</f>
        <v>1193823.3800000004</v>
      </c>
      <c r="WS32" s="43">
        <f>WS6-XF6</f>
        <v>0</v>
      </c>
      <c r="WU32" s="43">
        <f>WU6-XH6</f>
        <v>0</v>
      </c>
      <c r="WW32" s="43">
        <f>SUM(WM32:WU32)</f>
        <v>18688885.770000003</v>
      </c>
      <c r="WY32" s="51" t="s">
        <v>146</v>
      </c>
      <c r="WZ32" s="43">
        <f>WZ6</f>
        <v>3619488.25</v>
      </c>
      <c r="XA32" s="52"/>
      <c r="XB32" s="43">
        <f>XB6</f>
        <v>4043029.09</v>
      </c>
      <c r="XD32" s="43">
        <f>XD6</f>
        <v>1107285.6200000001</v>
      </c>
      <c r="XF32" s="43">
        <f>XF6</f>
        <v>0</v>
      </c>
      <c r="XH32" s="43">
        <f>XH6</f>
        <v>0</v>
      </c>
      <c r="XJ32" s="43">
        <f>SUM(WZ32:XH32)</f>
        <v>8769802.9600000009</v>
      </c>
      <c r="XL32" s="51" t="s">
        <v>146</v>
      </c>
      <c r="XM32" s="43">
        <f>XM6-XZ6</f>
        <v>24561969.017709184</v>
      </c>
      <c r="XN32" s="52"/>
      <c r="XO32" s="43">
        <f>XO6-YB6</f>
        <v>5157688.9199999981</v>
      </c>
      <c r="XQ32" s="43">
        <f>XQ6-YD6</f>
        <v>1155378.4000000004</v>
      </c>
      <c r="XS32" s="43">
        <f>XS6-YF6</f>
        <v>0</v>
      </c>
      <c r="XU32" s="43">
        <f>XU6-YH6</f>
        <v>0</v>
      </c>
      <c r="XW32" s="43">
        <f>SUM(XM32:XU32)</f>
        <v>30875036.337709181</v>
      </c>
      <c r="XY32" s="51"/>
      <c r="XZ32" s="43"/>
      <c r="YA32" s="52"/>
    </row>
    <row r="33" spans="1:660">
      <c r="A33" s="51" t="s">
        <v>147</v>
      </c>
      <c r="B33" s="43"/>
      <c r="C33" s="52"/>
      <c r="F33" s="43"/>
      <c r="O33" s="51" t="s">
        <v>147</v>
      </c>
      <c r="P33" s="43"/>
      <c r="Q33" s="52"/>
      <c r="T33" s="43"/>
      <c r="AC33" s="51" t="s">
        <v>147</v>
      </c>
      <c r="AD33" s="43"/>
      <c r="AE33" s="52"/>
      <c r="AH33" s="43"/>
      <c r="AQ33" s="51" t="s">
        <v>147</v>
      </c>
      <c r="AR33" s="43">
        <f t="shared" ref="AR33" si="68">AR7</f>
        <v>33076802.286003672</v>
      </c>
      <c r="AS33" s="52"/>
      <c r="AT33" s="43">
        <f t="shared" ref="AT33" si="69">AT7</f>
        <v>51606.26</v>
      </c>
      <c r="AV33" s="43">
        <f t="shared" ref="AV33:AV34" si="70">AV7</f>
        <v>0</v>
      </c>
      <c r="AX33" s="43">
        <f t="shared" ref="AX33:AX34" si="71">AX7</f>
        <v>0</v>
      </c>
      <c r="AZ33" s="43">
        <f t="shared" ref="AZ33:AZ34" si="72">AZ7</f>
        <v>0</v>
      </c>
      <c r="BB33" s="43">
        <f>SUM(AR33:AZ33)</f>
        <v>33128408.546003673</v>
      </c>
      <c r="BE33" s="51" t="s">
        <v>147</v>
      </c>
      <c r="BF33" s="43">
        <f t="shared" ref="BF33:BN34" si="73">BF7-BT7</f>
        <v>19533626.370947689</v>
      </c>
      <c r="BG33" s="52"/>
      <c r="BH33" s="43">
        <f t="shared" si="73"/>
        <v>31071.289999999979</v>
      </c>
      <c r="BJ33" s="43">
        <f t="shared" si="73"/>
        <v>0</v>
      </c>
      <c r="BL33" s="43">
        <f t="shared" si="73"/>
        <v>0</v>
      </c>
      <c r="BN33" s="43">
        <f t="shared" si="73"/>
        <v>0</v>
      </c>
      <c r="BP33" s="43">
        <f>SUM(BF33:BN33)</f>
        <v>19564697.660947688</v>
      </c>
      <c r="BS33" s="51" t="s">
        <v>147</v>
      </c>
      <c r="BT33" s="43">
        <f t="shared" ref="BT33:CB34" si="74">BT7-CH7</f>
        <v>43684388.628322348</v>
      </c>
      <c r="BU33" s="52"/>
      <c r="BV33" s="43">
        <f t="shared" si="74"/>
        <v>262283.82</v>
      </c>
      <c r="BX33" s="43">
        <f t="shared" si="74"/>
        <v>0</v>
      </c>
      <c r="BZ33" s="43">
        <f t="shared" si="74"/>
        <v>0</v>
      </c>
      <c r="CB33" s="43">
        <f t="shared" si="74"/>
        <v>0</v>
      </c>
      <c r="CD33" s="43">
        <f>SUM(BT33:CB33)</f>
        <v>43946672.448322348</v>
      </c>
      <c r="CG33" s="51" t="s">
        <v>147</v>
      </c>
      <c r="CH33" s="43">
        <f t="shared" ref="CH33:CP34" si="75">CH7-CV7</f>
        <v>29029843.899040975</v>
      </c>
      <c r="CI33" s="52"/>
      <c r="CJ33" s="43">
        <f t="shared" si="75"/>
        <v>70682.460000000006</v>
      </c>
      <c r="CL33" s="43">
        <f t="shared" si="75"/>
        <v>0</v>
      </c>
      <c r="CN33" s="43">
        <f t="shared" si="75"/>
        <v>0</v>
      </c>
      <c r="CP33" s="43">
        <f t="shared" si="75"/>
        <v>0</v>
      </c>
      <c r="CR33" s="43">
        <f>SUM(CH33:CP33)</f>
        <v>29100526.359040976</v>
      </c>
      <c r="CU33" s="51" t="s">
        <v>147</v>
      </c>
      <c r="CV33" s="43">
        <f t="shared" ref="CV33:CX34" si="76">CV7</f>
        <v>60297185.680958994</v>
      </c>
      <c r="CW33" s="52"/>
      <c r="CX33" s="43">
        <f t="shared" si="76"/>
        <v>30294.42</v>
      </c>
      <c r="CZ33" s="43">
        <f t="shared" ref="CZ33" si="77">CZ7</f>
        <v>0</v>
      </c>
      <c r="DB33" s="43">
        <f t="shared" ref="DB33" si="78">DB7</f>
        <v>0</v>
      </c>
      <c r="DD33" s="43">
        <f t="shared" ref="DD33" si="79">DD7</f>
        <v>0</v>
      </c>
      <c r="DF33" s="43">
        <f>SUM(CV33:DD33)</f>
        <v>60327480.100958996</v>
      </c>
      <c r="DI33" s="51" t="s">
        <v>147</v>
      </c>
      <c r="DJ33" s="43">
        <f t="shared" ref="DJ33:DR34" si="80">DJ7-DX7</f>
        <v>36657287.889774442</v>
      </c>
      <c r="DK33" s="52"/>
      <c r="DL33" s="43">
        <f t="shared" si="80"/>
        <v>36302.489999999991</v>
      </c>
      <c r="DN33" s="43">
        <f t="shared" si="80"/>
        <v>0</v>
      </c>
      <c r="DP33" s="43">
        <f t="shared" si="80"/>
        <v>0</v>
      </c>
      <c r="DR33" s="43">
        <f t="shared" si="80"/>
        <v>0</v>
      </c>
      <c r="DT33" s="43">
        <f>SUM(DJ33:DR33)</f>
        <v>36693590.379774444</v>
      </c>
      <c r="DW33" s="51" t="s">
        <v>147</v>
      </c>
      <c r="DX33" s="43">
        <f t="shared" ref="DX33:EF34" si="81">DX7-EL7</f>
        <v>48277141.235697463</v>
      </c>
      <c r="DY33" s="52"/>
      <c r="DZ33" s="43">
        <f t="shared" si="81"/>
        <v>17829.100000000006</v>
      </c>
      <c r="EB33" s="43">
        <f t="shared" si="81"/>
        <v>0</v>
      </c>
      <c r="ED33" s="43">
        <f t="shared" si="81"/>
        <v>0</v>
      </c>
      <c r="EF33" s="43">
        <f t="shared" si="81"/>
        <v>0</v>
      </c>
      <c r="EH33" s="43">
        <f>SUM(DX33:EF33)</f>
        <v>48294970.335697465</v>
      </c>
      <c r="EK33" s="51" t="s">
        <v>147</v>
      </c>
      <c r="EL33" s="43">
        <f>EL7-EZ7</f>
        <v>23316090.825966656</v>
      </c>
      <c r="EM33" s="52"/>
      <c r="EN33" s="43">
        <f>EN7-FB7</f>
        <v>50954.21</v>
      </c>
      <c r="EP33" s="43">
        <f>EP7-FD7</f>
        <v>0</v>
      </c>
      <c r="ER33" s="43">
        <f>ER7-FF7</f>
        <v>0</v>
      </c>
      <c r="ET33" s="43">
        <f>ET7-FH7</f>
        <v>0</v>
      </c>
      <c r="EV33" s="43">
        <f>SUM(EL33:ET33)</f>
        <v>23367045.035966657</v>
      </c>
      <c r="EY33" s="51" t="s">
        <v>147</v>
      </c>
      <c r="EZ33" s="43">
        <f t="shared" ref="EZ33:EZ34" si="82">EZ7</f>
        <v>51477952.374033347</v>
      </c>
      <c r="FA33" s="52"/>
      <c r="FB33" s="43">
        <f t="shared" ref="FB33:FD34" si="83">FB7</f>
        <v>43248.6</v>
      </c>
      <c r="FD33" s="43">
        <f t="shared" si="83"/>
        <v>0</v>
      </c>
      <c r="FF33" s="43">
        <f t="shared" ref="FF33" si="84">FF7</f>
        <v>0</v>
      </c>
      <c r="FH33" s="43">
        <f t="shared" ref="FH33" si="85">FH7</f>
        <v>0</v>
      </c>
      <c r="FJ33" s="43">
        <f>SUM(EZ33:FH33)</f>
        <v>51521200.974033348</v>
      </c>
      <c r="FM33" s="51" t="s">
        <v>147</v>
      </c>
      <c r="FN33" s="43">
        <f t="shared" ref="FN33:FN34" si="86">FN7-GB7</f>
        <v>12440846.894390307</v>
      </c>
      <c r="FO33" s="52"/>
      <c r="FP33" s="43">
        <f t="shared" si="43"/>
        <v>122619.34</v>
      </c>
      <c r="FR33" s="43">
        <f t="shared" si="44"/>
        <v>0</v>
      </c>
      <c r="FT33" s="43">
        <f t="shared" si="45"/>
        <v>0</v>
      </c>
      <c r="FV33" s="43">
        <f t="shared" si="46"/>
        <v>0</v>
      </c>
      <c r="FX33" s="43">
        <f>SUM(FN33:FV33)</f>
        <v>12563466.234390307</v>
      </c>
      <c r="GA33" s="51" t="s">
        <v>147</v>
      </c>
      <c r="GB33" s="43">
        <f t="shared" ref="GB33:GB34" si="87">GB7-GP7</f>
        <v>12335607.675609689</v>
      </c>
      <c r="GC33" s="52"/>
      <c r="GD33" s="43">
        <f t="shared" si="47"/>
        <v>42816.581699999995</v>
      </c>
      <c r="GF33" s="43">
        <f t="shared" si="48"/>
        <v>0</v>
      </c>
      <c r="GH33" s="43">
        <f t="shared" si="49"/>
        <v>0</v>
      </c>
      <c r="GJ33" s="43">
        <f t="shared" si="50"/>
        <v>0</v>
      </c>
      <c r="GL33" s="43">
        <f>SUM(GB33:GJ33)</f>
        <v>12378424.25730969</v>
      </c>
      <c r="GO33" s="51" t="s">
        <v>147</v>
      </c>
      <c r="GP33" s="43">
        <f t="shared" ref="GP33:GP34" si="88">GP7-HD7</f>
        <v>5997659.7299999995</v>
      </c>
      <c r="GQ33" s="52"/>
      <c r="GR33" s="43">
        <f t="shared" si="51"/>
        <v>18699.998299999999</v>
      </c>
      <c r="GT33" s="43">
        <f t="shared" si="52"/>
        <v>0</v>
      </c>
      <c r="GV33" s="43">
        <f t="shared" si="53"/>
        <v>0</v>
      </c>
      <c r="GX33" s="43">
        <f t="shared" si="54"/>
        <v>0</v>
      </c>
      <c r="GZ33" s="43">
        <f>SUM(GP33:GX33)</f>
        <v>6016359.7282999996</v>
      </c>
      <c r="HC33" s="51" t="s">
        <v>147</v>
      </c>
      <c r="HD33" s="43">
        <f t="shared" ref="HD33" si="89">HD7</f>
        <v>10435.66</v>
      </c>
      <c r="HE33" s="52"/>
      <c r="HF33" s="43">
        <f t="shared" ref="HF33" si="90">HF7</f>
        <v>11430.45</v>
      </c>
      <c r="HH33" s="43">
        <f t="shared" ref="HH33:HH34" si="91">HH7</f>
        <v>0</v>
      </c>
      <c r="HJ33" s="43">
        <f t="shared" ref="HJ33:HJ34" si="92">HJ7</f>
        <v>0</v>
      </c>
      <c r="HL33" s="43">
        <f t="shared" ref="HL33:HL34" si="93">HL7</f>
        <v>0</v>
      </c>
      <c r="HN33" s="43">
        <f>SUM(HD33:HL33)</f>
        <v>21866.11</v>
      </c>
      <c r="HQ33" s="51" t="s">
        <v>147</v>
      </c>
      <c r="HR33" s="43">
        <f t="shared" ref="HR33:HR34" si="94">HR7-IF7</f>
        <v>110148.93000000005</v>
      </c>
      <c r="HS33" s="52"/>
      <c r="HT33" s="43">
        <f t="shared" ref="HT33:HT34" si="95">HT7-IH7</f>
        <v>24200</v>
      </c>
      <c r="HV33" s="43">
        <f t="shared" ref="HV33:HV34" si="96">HV7-IJ7</f>
        <v>0</v>
      </c>
      <c r="HX33" s="43">
        <f t="shared" ref="HX33:HX34" si="97">HX7-IL7</f>
        <v>0</v>
      </c>
      <c r="HZ33" s="43">
        <f t="shared" ref="HZ33:HZ34" si="98">HZ7-IN7</f>
        <v>0</v>
      </c>
      <c r="IB33" s="43">
        <f>SUM(HR33:HZ33)</f>
        <v>134348.93000000005</v>
      </c>
      <c r="IE33" s="51" t="s">
        <v>147</v>
      </c>
      <c r="IF33" s="43">
        <f t="shared" ref="IF33:IL34" si="99">IF7-IT7</f>
        <v>45508.669999999925</v>
      </c>
      <c r="IG33" s="52"/>
      <c r="IH33" s="43">
        <f t="shared" si="99"/>
        <v>577579.03999999992</v>
      </c>
      <c r="IJ33" s="43">
        <f t="shared" si="99"/>
        <v>0</v>
      </c>
      <c r="IL33" s="43">
        <f t="shared" si="99"/>
        <v>0</v>
      </c>
      <c r="IN33" s="43">
        <f t="shared" si="55"/>
        <v>0</v>
      </c>
      <c r="IP33" s="43">
        <f>SUM(IF33:IN33)</f>
        <v>623087.70999999985</v>
      </c>
      <c r="IS33" s="51" t="s">
        <v>147</v>
      </c>
      <c r="IT33" s="43">
        <f t="shared" ref="IT33:JB34" si="100">IT7-JH7</f>
        <v>30803</v>
      </c>
      <c r="IU33" s="52"/>
      <c r="IV33" s="43">
        <f t="shared" si="100"/>
        <v>276869.52</v>
      </c>
      <c r="IX33" s="43">
        <f t="shared" si="100"/>
        <v>0</v>
      </c>
      <c r="IZ33" s="43">
        <f t="shared" si="100"/>
        <v>0</v>
      </c>
      <c r="JB33" s="43">
        <f t="shared" si="100"/>
        <v>0</v>
      </c>
      <c r="JD33" s="43">
        <f>SUM(IT33:JB33)</f>
        <v>307672.52</v>
      </c>
      <c r="JG33" s="51" t="s">
        <v>147</v>
      </c>
      <c r="JH33" s="43">
        <f t="shared" ref="JH33:JJ34" si="101">JH7</f>
        <v>854178.02</v>
      </c>
      <c r="JI33" s="52"/>
      <c r="JJ33" s="43">
        <f t="shared" si="101"/>
        <v>362207.85</v>
      </c>
      <c r="JL33" s="43">
        <f t="shared" ref="JL33" si="102">JL7</f>
        <v>0</v>
      </c>
      <c r="JN33" s="43">
        <f t="shared" ref="JN33" si="103">JN7</f>
        <v>0</v>
      </c>
      <c r="JP33" s="43">
        <f t="shared" ref="JP33" si="104">JP7</f>
        <v>0</v>
      </c>
      <c r="JR33" s="43">
        <f>SUM(JH33:JP33)</f>
        <v>1216385.8700000001</v>
      </c>
      <c r="JU33" s="51" t="s">
        <v>147</v>
      </c>
      <c r="JV33" s="43">
        <f t="shared" ref="JV33:JV34" si="105">JV7-KJ7</f>
        <v>-36392.28</v>
      </c>
      <c r="JW33" s="52"/>
      <c r="JX33" s="43">
        <f t="shared" ref="JX33:JX34" si="106">JX7-KL7</f>
        <v>96429.409999999916</v>
      </c>
      <c r="JZ33" s="43">
        <f t="shared" ref="JZ33:JZ34" si="107">JZ7-KN7</f>
        <v>0</v>
      </c>
      <c r="KB33" s="43">
        <f t="shared" ref="KB33:KB34" si="108">KB7-KP7</f>
        <v>0</v>
      </c>
      <c r="KD33" s="43">
        <f t="shared" ref="KD33:KD34" si="109">KD7-KR7</f>
        <v>0</v>
      </c>
      <c r="KF33" s="43">
        <f>SUM(JV33:KD33)</f>
        <v>60037.129999999917</v>
      </c>
      <c r="KI33" s="51" t="s">
        <v>147</v>
      </c>
      <c r="KJ33" s="43">
        <f t="shared" ref="KJ33:KJ34" si="110">KJ7-KX7</f>
        <v>16489.149999999994</v>
      </c>
      <c r="KK33" s="52"/>
      <c r="KL33" s="43">
        <f t="shared" si="56"/>
        <v>307892.69999999995</v>
      </c>
      <c r="KN33" s="43">
        <f t="shared" si="57"/>
        <v>0</v>
      </c>
      <c r="KP33" s="43">
        <f t="shared" si="58"/>
        <v>0</v>
      </c>
      <c r="KR33" s="43">
        <f t="shared" si="59"/>
        <v>0</v>
      </c>
      <c r="KT33" s="43">
        <f>SUM(KJ33:KR33)</f>
        <v>324381.84999999998</v>
      </c>
      <c r="KW33" s="51" t="s">
        <v>147</v>
      </c>
      <c r="KX33" s="43">
        <f t="shared" ref="KX33:KX34" si="111">KX7-LK7</f>
        <v>62805.330000000016</v>
      </c>
      <c r="KY33" s="52"/>
      <c r="KZ33" s="43">
        <f t="shared" ref="KZ33:KZ34" si="112">KZ7-LM7</f>
        <v>472716.06000000006</v>
      </c>
      <c r="LB33" s="43">
        <f t="shared" ref="LB33:LB34" si="113">LB7-LO7</f>
        <v>0</v>
      </c>
      <c r="LD33" s="43">
        <f t="shared" ref="LD33:LD34" si="114">LD7-LQ7</f>
        <v>0</v>
      </c>
      <c r="LF33" s="43">
        <f t="shared" ref="LF33:LF34" si="115">LF7-LS7</f>
        <v>0</v>
      </c>
      <c r="LH33" s="43">
        <f>SUM(KX33:LF33)</f>
        <v>535521.39000000013</v>
      </c>
      <c r="LJ33" s="51" t="s">
        <v>147</v>
      </c>
      <c r="LK33" s="43">
        <f t="shared" ref="LK33:LK34" si="116">LK7</f>
        <v>141395.35999999999</v>
      </c>
      <c r="LL33" s="52"/>
      <c r="LM33" s="43">
        <f t="shared" si="60"/>
        <v>797815.99</v>
      </c>
      <c r="LO33" s="43">
        <f t="shared" si="61"/>
        <v>0</v>
      </c>
      <c r="LP33" s="164"/>
      <c r="LQ33" s="43">
        <f t="shared" si="62"/>
        <v>0</v>
      </c>
      <c r="LS33" s="43">
        <f t="shared" si="63"/>
        <v>0</v>
      </c>
      <c r="LU33" s="43">
        <f t="shared" ref="LU33:LU34" si="117">SUM(LK33:LS33)</f>
        <v>939211.35</v>
      </c>
      <c r="LW33" s="51" t="s">
        <v>147</v>
      </c>
      <c r="LX33" s="43">
        <f t="shared" ref="LX33:MF34" si="118">LX7-ML7</f>
        <v>100708.33000000002</v>
      </c>
      <c r="LY33" s="52"/>
      <c r="LZ33" s="43">
        <f t="shared" si="118"/>
        <v>170771.71999999974</v>
      </c>
      <c r="MB33" s="43">
        <f t="shared" si="118"/>
        <v>0</v>
      </c>
      <c r="MD33" s="43">
        <f t="shared" si="118"/>
        <v>0</v>
      </c>
      <c r="MF33" s="43">
        <f t="shared" si="118"/>
        <v>0</v>
      </c>
      <c r="MH33" s="43">
        <f>SUM(LX33:MF33)</f>
        <v>271480.04999999976</v>
      </c>
      <c r="MK33" s="51" t="s">
        <v>147</v>
      </c>
      <c r="ML33" s="43">
        <f t="shared" ref="ML33:ML34" si="119">ML7-MZ7</f>
        <v>137331.76</v>
      </c>
      <c r="MM33" s="52"/>
      <c r="MN33" s="43">
        <f t="shared" si="64"/>
        <v>439669.49</v>
      </c>
      <c r="MP33" s="43">
        <f t="shared" si="65"/>
        <v>0</v>
      </c>
      <c r="MR33" s="43">
        <f t="shared" si="66"/>
        <v>0</v>
      </c>
      <c r="MT33" s="43">
        <f t="shared" si="67"/>
        <v>0</v>
      </c>
      <c r="MV33" s="43">
        <f>SUM(ML33:MT33)</f>
        <v>577001.25</v>
      </c>
      <c r="MY33" s="51" t="s">
        <v>147</v>
      </c>
      <c r="MZ33" s="43">
        <f t="shared" ref="MZ33:NH34" si="120">MZ7-NM7</f>
        <v>75424.649999999994</v>
      </c>
      <c r="NA33" s="52"/>
      <c r="NB33" s="43">
        <f t="shared" si="120"/>
        <v>481159.70000000007</v>
      </c>
      <c r="ND33" s="43">
        <f t="shared" si="120"/>
        <v>0</v>
      </c>
      <c r="NF33" s="43">
        <f t="shared" si="120"/>
        <v>0</v>
      </c>
      <c r="NH33" s="43">
        <f t="shared" si="120"/>
        <v>0</v>
      </c>
      <c r="NJ33" s="43">
        <f>SUM(MZ33:NH33)</f>
        <v>556584.35000000009</v>
      </c>
      <c r="NL33" s="51" t="s">
        <v>147</v>
      </c>
      <c r="NM33" s="43">
        <f>NM7</f>
        <v>120947.03</v>
      </c>
      <c r="NN33" s="52"/>
      <c r="NO33" s="43">
        <f>NO7</f>
        <v>597276.57999999996</v>
      </c>
      <c r="NQ33" s="43">
        <f>NQ7</f>
        <v>0</v>
      </c>
      <c r="NR33" s="164"/>
      <c r="NS33" s="43">
        <f>NS7</f>
        <v>0</v>
      </c>
      <c r="NU33" s="43">
        <f>NU7</f>
        <v>0</v>
      </c>
      <c r="NW33" s="43">
        <f>SUM(NM33:NU33)</f>
        <v>718223.61</v>
      </c>
      <c r="NY33" s="51" t="s">
        <v>147</v>
      </c>
      <c r="NZ33" s="43">
        <f>NZ7-OM7</f>
        <v>194397.20000000007</v>
      </c>
      <c r="OA33" s="52"/>
      <c r="OB33" s="43">
        <f>OB7-OO7</f>
        <v>852277.08000000007</v>
      </c>
      <c r="OD33" s="156">
        <f>OD7-OQ7</f>
        <v>0</v>
      </c>
      <c r="OF33" s="43">
        <f>OF7-OS7</f>
        <v>0</v>
      </c>
      <c r="OH33" s="43">
        <f>OH7-OU7</f>
        <v>0</v>
      </c>
      <c r="OJ33" s="43">
        <f t="shared" ref="OJ33:OJ34" si="121">SUM(NZ33:OH33)</f>
        <v>1046674.2800000001</v>
      </c>
      <c r="OL33" s="51" t="s">
        <v>147</v>
      </c>
      <c r="OM33" s="43">
        <f>OM7-OZ7</f>
        <v>79521.729999999981</v>
      </c>
      <c r="ON33" s="52"/>
      <c r="OO33" s="43">
        <f>OO7-PB7</f>
        <v>541184.08999999985</v>
      </c>
      <c r="OQ33" s="130">
        <f>OQ7-PD7</f>
        <v>0</v>
      </c>
      <c r="OS33" s="43">
        <f>OS7-PF7</f>
        <v>0</v>
      </c>
      <c r="OU33" s="43">
        <f>OU7-PH7</f>
        <v>0</v>
      </c>
      <c r="OW33" s="43">
        <f>SUM(OM33:OU33)</f>
        <v>620705.81999999983</v>
      </c>
      <c r="OY33" s="51" t="s">
        <v>147</v>
      </c>
      <c r="OZ33" s="43">
        <f>OZ7-PM7</f>
        <v>89842.44</v>
      </c>
      <c r="PA33" s="52"/>
      <c r="PB33" s="43">
        <f>PB7-PO7</f>
        <v>613159.41000000015</v>
      </c>
      <c r="PD33" s="130">
        <f>PD7-PQ7</f>
        <v>0</v>
      </c>
      <c r="PF33" s="43">
        <f>PF7-PS7</f>
        <v>0</v>
      </c>
      <c r="PH33" s="43">
        <f>PH7-PU7</f>
        <v>0</v>
      </c>
      <c r="PJ33" s="43">
        <f>SUM(OZ33:PH33)</f>
        <v>703001.85000000009</v>
      </c>
      <c r="PL33" s="51" t="s">
        <v>147</v>
      </c>
      <c r="PM33" s="43">
        <f>PM7-PZ7-QD7</f>
        <v>103586.44999999998</v>
      </c>
      <c r="PN33" s="52"/>
      <c r="PO33" s="43">
        <f>PO7-QB7</f>
        <v>667035.5</v>
      </c>
      <c r="PQ33" s="130">
        <v>0</v>
      </c>
      <c r="PS33" s="43">
        <f>PS7-QF7</f>
        <v>0</v>
      </c>
      <c r="PU33" s="43">
        <f>PU7-QH7</f>
        <v>0</v>
      </c>
      <c r="PW33" s="43">
        <f>SUM(PM33:PU33)</f>
        <v>770621.95</v>
      </c>
      <c r="PY33" s="51" t="s">
        <v>147</v>
      </c>
      <c r="PZ33" s="43">
        <f>PZ7-QM7</f>
        <v>0</v>
      </c>
      <c r="QA33" s="52"/>
      <c r="QB33" s="43">
        <f>QB7-QO7</f>
        <v>386371.33999999997</v>
      </c>
      <c r="QD33" s="43">
        <f>QD7-QQ7</f>
        <v>28889.78</v>
      </c>
      <c r="QF33" s="43">
        <f>QF7-QS7</f>
        <v>0</v>
      </c>
      <c r="QH33" s="43">
        <f>QH7-QU7</f>
        <v>0</v>
      </c>
      <c r="QJ33" s="43">
        <f>SUM(PZ33:QH33)</f>
        <v>415261.12</v>
      </c>
      <c r="QL33" s="51" t="s">
        <v>147</v>
      </c>
      <c r="QM33" s="43">
        <f>QM7-QZ7</f>
        <v>0</v>
      </c>
      <c r="QN33" s="52"/>
      <c r="QO33" s="43">
        <f>QO7-RB7</f>
        <v>443699.6</v>
      </c>
      <c r="QQ33" s="43">
        <f>QQ7-RD7</f>
        <v>56565.330000000009</v>
      </c>
      <c r="QS33" s="43">
        <f>QS7-RF7</f>
        <v>0</v>
      </c>
      <c r="QU33" s="43">
        <f>QU7-RH7</f>
        <v>0</v>
      </c>
      <c r="QW33" s="43">
        <f>SUM(QM33:QU33)</f>
        <v>500264.93</v>
      </c>
      <c r="QY33" s="51" t="s">
        <v>147</v>
      </c>
      <c r="QZ33" s="43">
        <f>QZ7</f>
        <v>0</v>
      </c>
      <c r="RA33" s="52"/>
      <c r="RB33" s="43">
        <f>RB7</f>
        <v>176658</v>
      </c>
      <c r="RD33" s="43">
        <f>RD7</f>
        <v>64067.99</v>
      </c>
      <c r="RF33" s="43">
        <f>RF7</f>
        <v>0</v>
      </c>
      <c r="RH33" s="43">
        <f>RH7</f>
        <v>0</v>
      </c>
      <c r="RJ33" s="43">
        <f>SUM(QZ33:RH33)</f>
        <v>240725.99</v>
      </c>
      <c r="RL33" s="51" t="s">
        <v>147</v>
      </c>
      <c r="RM33" s="43">
        <f>RM7-RZ7</f>
        <v>0</v>
      </c>
      <c r="RN33" s="52"/>
      <c r="RO33" s="43">
        <f>RO7-SB7</f>
        <v>275212.24000000011</v>
      </c>
      <c r="RQ33" s="43">
        <f>RQ7-SD7</f>
        <v>104743.56</v>
      </c>
      <c r="RS33" s="43">
        <f>RS7-SF7</f>
        <v>0</v>
      </c>
      <c r="RU33" s="43">
        <f>RU7-SH7</f>
        <v>0</v>
      </c>
      <c r="RW33" s="43">
        <f>SUM(RM33:RU33)</f>
        <v>379955.8000000001</v>
      </c>
      <c r="RY33" s="51" t="s">
        <v>147</v>
      </c>
      <c r="RZ33" s="43">
        <f>RZ7-SM7</f>
        <v>0</v>
      </c>
      <c r="SA33" s="52"/>
      <c r="SB33" s="43">
        <f>SB7-SO7</f>
        <v>242588.53000000003</v>
      </c>
      <c r="SD33" s="43">
        <f>SD7-SQ7</f>
        <v>141336.68</v>
      </c>
      <c r="SF33" s="43">
        <f>SF7-SS7</f>
        <v>0</v>
      </c>
      <c r="SH33" s="43">
        <f>SH7-SU7</f>
        <v>0</v>
      </c>
      <c r="SJ33" s="43">
        <f>SUM(RZ33:SH33)</f>
        <v>383925.21</v>
      </c>
      <c r="SL33" s="51" t="s">
        <v>147</v>
      </c>
      <c r="SM33" s="43">
        <f>SM7-SZ7</f>
        <v>0</v>
      </c>
      <c r="SN33" s="52"/>
      <c r="SO33" s="43">
        <f>SO7-TB7</f>
        <v>458144.18</v>
      </c>
      <c r="SQ33" s="43">
        <f>SQ7-TD7</f>
        <v>17793.71</v>
      </c>
      <c r="SS33" s="43">
        <f>SS7-TF7</f>
        <v>0</v>
      </c>
      <c r="SU33" s="43">
        <f>SU7-TH7</f>
        <v>0</v>
      </c>
      <c r="SW33" s="43">
        <f>SUM(SM33:SU33)</f>
        <v>475937.89</v>
      </c>
      <c r="SY33" s="51" t="s">
        <v>147</v>
      </c>
      <c r="SZ33" s="43">
        <f>SZ7</f>
        <v>0</v>
      </c>
      <c r="TA33" s="52"/>
      <c r="TB33" s="43">
        <f>TB7</f>
        <v>147912.93</v>
      </c>
      <c r="TD33" s="43">
        <f>TD7</f>
        <v>37912.29</v>
      </c>
      <c r="TF33" s="43">
        <f>TF7</f>
        <v>0</v>
      </c>
      <c r="TH33" s="43">
        <f>TH7</f>
        <v>0</v>
      </c>
      <c r="TJ33" s="43">
        <f>SUM(SZ33:TH33)</f>
        <v>185825.22</v>
      </c>
      <c r="TL33" s="51" t="s">
        <v>147</v>
      </c>
      <c r="TM33" s="43">
        <f>TM7-TZ7</f>
        <v>0</v>
      </c>
      <c r="TN33" s="52"/>
      <c r="TO33" s="43">
        <f>TO7-UB7</f>
        <v>28251.899999999907</v>
      </c>
      <c r="TQ33" s="43">
        <f>TQ7-UD7</f>
        <v>19.799999999988358</v>
      </c>
      <c r="TS33" s="43">
        <f>TS7-UF7</f>
        <v>0</v>
      </c>
      <c r="TU33" s="43">
        <f>TU7-UH7</f>
        <v>0</v>
      </c>
      <c r="TW33" s="43">
        <f>SUM(TM33:TU33)</f>
        <v>28271.699999999895</v>
      </c>
      <c r="TY33" s="51" t="s">
        <v>147</v>
      </c>
      <c r="TZ33" s="43">
        <f>TZ7-UM7</f>
        <v>0</v>
      </c>
      <c r="UA33" s="52"/>
      <c r="UB33" s="43">
        <f>UB7-UO7</f>
        <v>623682.16</v>
      </c>
      <c r="UD33" s="43">
        <f>UD7-UQ7</f>
        <v>91255.910000000018</v>
      </c>
      <c r="UF33" s="43">
        <f>UF7-US7</f>
        <v>0</v>
      </c>
      <c r="UH33" s="43">
        <f>UH7-UU7</f>
        <v>0</v>
      </c>
      <c r="UJ33" s="43">
        <f>SUM(TZ33:UH33)</f>
        <v>714938.07000000007</v>
      </c>
      <c r="UL33" s="51" t="s">
        <v>147</v>
      </c>
      <c r="UM33" s="43">
        <f>UM7-UZ7</f>
        <v>-2180</v>
      </c>
      <c r="UN33" s="52"/>
      <c r="UO33" s="43">
        <f>UO7-VB7</f>
        <v>49554.11</v>
      </c>
      <c r="UQ33" s="43">
        <f>UQ7-VD7</f>
        <v>54518.06</v>
      </c>
      <c r="US33" s="43">
        <f>US7-VF7</f>
        <v>0</v>
      </c>
      <c r="UU33" s="43">
        <f>UU7-VH7</f>
        <v>0</v>
      </c>
      <c r="UW33" s="43">
        <f>SUM(UM33:UU33)</f>
        <v>101892.17</v>
      </c>
      <c r="UY33" s="51" t="s">
        <v>147</v>
      </c>
      <c r="UZ33" s="43">
        <f>UZ7</f>
        <v>46180</v>
      </c>
      <c r="VA33" s="52"/>
      <c r="VB33" s="43">
        <f>VB7</f>
        <v>0</v>
      </c>
      <c r="VD33" s="43">
        <f>VD7</f>
        <v>11367.699999999999</v>
      </c>
      <c r="VF33" s="43">
        <f>VF7</f>
        <v>0</v>
      </c>
      <c r="VH33" s="43">
        <f>VH7</f>
        <v>0</v>
      </c>
      <c r="VJ33" s="43">
        <f>SUM(UZ33:VH33)</f>
        <v>57547.7</v>
      </c>
      <c r="VL33" s="51" t="s">
        <v>147</v>
      </c>
      <c r="VM33" s="43">
        <f>VM7-VZ7</f>
        <v>0</v>
      </c>
      <c r="VN33" s="52"/>
      <c r="VO33" s="43">
        <f>VO7-WB7</f>
        <v>0</v>
      </c>
      <c r="VQ33" s="43">
        <f>VQ7-WD7</f>
        <v>459758.24</v>
      </c>
      <c r="VS33" s="43">
        <f>VS7-WF7</f>
        <v>0</v>
      </c>
      <c r="VU33" s="43">
        <f>VU7-WH7</f>
        <v>0</v>
      </c>
      <c r="VW33" s="43">
        <f>SUM(VM33:VU33)</f>
        <v>459758.24</v>
      </c>
      <c r="VY33" s="51" t="s">
        <v>147</v>
      </c>
      <c r="VZ33" s="43">
        <f>VZ7-WM7</f>
        <v>0</v>
      </c>
      <c r="WA33" s="52"/>
      <c r="WB33" s="43">
        <f>WB7-WO7</f>
        <v>0</v>
      </c>
      <c r="WD33" s="43">
        <f>WD7-WQ7</f>
        <v>0</v>
      </c>
      <c r="WF33" s="43">
        <f>WF7-WS7</f>
        <v>0</v>
      </c>
      <c r="WH33" s="43">
        <f>WH7-WU7</f>
        <v>0</v>
      </c>
      <c r="WJ33" s="43">
        <f>SUM(VZ33:WH33)</f>
        <v>0</v>
      </c>
      <c r="WL33" s="51" t="s">
        <v>147</v>
      </c>
      <c r="WM33" s="43">
        <f>WM7-WZ7</f>
        <v>0</v>
      </c>
      <c r="WN33" s="52"/>
      <c r="WO33" s="43">
        <f>WO7-XB7</f>
        <v>0</v>
      </c>
      <c r="WQ33" s="43">
        <f>WQ7-XD7</f>
        <v>-65576.61</v>
      </c>
      <c r="WS33" s="43">
        <f>WS7-XF7</f>
        <v>0</v>
      </c>
      <c r="WU33" s="43">
        <f>WU7-XH7</f>
        <v>0</v>
      </c>
      <c r="WW33" s="43">
        <f>SUM(WM33:WU33)</f>
        <v>-65576.61</v>
      </c>
      <c r="WY33" s="51" t="s">
        <v>147</v>
      </c>
      <c r="WZ33" s="43">
        <f>WZ7</f>
        <v>0</v>
      </c>
      <c r="XA33" s="52"/>
      <c r="XB33" s="43">
        <f>XB7</f>
        <v>0</v>
      </c>
      <c r="XD33" s="43">
        <f>XD7</f>
        <v>65576.61</v>
      </c>
      <c r="XF33" s="43">
        <f>XF7</f>
        <v>0</v>
      </c>
      <c r="XH33" s="43">
        <f>XH7</f>
        <v>0</v>
      </c>
      <c r="XJ33" s="43">
        <f>SUM(WZ33:XH33)</f>
        <v>65576.61</v>
      </c>
      <c r="XL33" s="51" t="s">
        <v>147</v>
      </c>
      <c r="XM33" s="43">
        <f>XM7-XZ7</f>
        <v>0</v>
      </c>
      <c r="XN33" s="52"/>
      <c r="XO33" s="43">
        <f>XO7-YB7</f>
        <v>0</v>
      </c>
      <c r="XQ33" s="43">
        <f>XQ7-YD7</f>
        <v>129738.63</v>
      </c>
      <c r="XS33" s="43">
        <f>XS7-YF7</f>
        <v>0</v>
      </c>
      <c r="XU33" s="43">
        <f>XU7-YH7</f>
        <v>0</v>
      </c>
      <c r="XW33" s="43">
        <f>SUM(XM33:XU33)</f>
        <v>129738.63</v>
      </c>
      <c r="XY33" s="51"/>
      <c r="XZ33" s="43"/>
      <c r="YA33" s="52"/>
    </row>
    <row r="34" spans="1:660">
      <c r="A34" s="51" t="s">
        <v>148</v>
      </c>
      <c r="B34" s="43"/>
      <c r="C34" s="52"/>
      <c r="F34" s="43"/>
      <c r="O34" s="51" t="s">
        <v>148</v>
      </c>
      <c r="P34" s="43"/>
      <c r="Q34" s="52"/>
      <c r="T34" s="43"/>
      <c r="AC34" s="51" t="s">
        <v>148</v>
      </c>
      <c r="AD34" s="43"/>
      <c r="AE34" s="52"/>
      <c r="AH34" s="43"/>
      <c r="AQ34" s="51" t="s">
        <v>148</v>
      </c>
      <c r="AR34" s="43">
        <f t="shared" ref="AR34" si="122">AR8</f>
        <v>126997.8</v>
      </c>
      <c r="AS34" s="52"/>
      <c r="AT34" s="43">
        <f t="shared" ref="AT34" si="123">AT8</f>
        <v>460484.33</v>
      </c>
      <c r="AV34" s="43">
        <f t="shared" si="70"/>
        <v>0</v>
      </c>
      <c r="AX34" s="43">
        <f t="shared" si="71"/>
        <v>386700</v>
      </c>
      <c r="AZ34" s="43">
        <f t="shared" si="72"/>
        <v>-974182.13</v>
      </c>
      <c r="BB34" s="43">
        <f>SUM(AR34:AZ34)</f>
        <v>0</v>
      </c>
      <c r="BE34" s="51" t="s">
        <v>148</v>
      </c>
      <c r="BF34" s="43">
        <f t="shared" si="73"/>
        <v>0</v>
      </c>
      <c r="BG34" s="52"/>
      <c r="BH34" s="43">
        <f t="shared" si="73"/>
        <v>369193.73</v>
      </c>
      <c r="BJ34" s="43">
        <f t="shared" si="73"/>
        <v>0</v>
      </c>
      <c r="BL34" s="43">
        <f t="shared" si="73"/>
        <v>386700</v>
      </c>
      <c r="BN34" s="43">
        <f t="shared" si="73"/>
        <v>-755893.73</v>
      </c>
      <c r="BP34" s="43">
        <f>SUM(BF34:BN34)</f>
        <v>0</v>
      </c>
      <c r="BS34" s="51" t="s">
        <v>148</v>
      </c>
      <c r="BT34" s="43">
        <f t="shared" si="74"/>
        <v>1677.4700000000012</v>
      </c>
      <c r="BU34" s="52"/>
      <c r="BV34" s="43">
        <f t="shared" si="74"/>
        <v>455150.13</v>
      </c>
      <c r="BX34" s="43">
        <f t="shared" si="74"/>
        <v>0</v>
      </c>
      <c r="BZ34" s="43">
        <f t="shared" si="74"/>
        <v>386700</v>
      </c>
      <c r="CB34" s="43">
        <f t="shared" si="74"/>
        <v>-843527.59999999963</v>
      </c>
      <c r="CD34" s="43">
        <f>SUM(BT34:CB34)</f>
        <v>0</v>
      </c>
      <c r="CG34" s="51" t="s">
        <v>148</v>
      </c>
      <c r="CH34" s="43">
        <f t="shared" si="75"/>
        <v>6335.1699999999837</v>
      </c>
      <c r="CI34" s="52"/>
      <c r="CJ34" s="43">
        <f t="shared" si="75"/>
        <v>375995.59</v>
      </c>
      <c r="CL34" s="43">
        <f t="shared" si="75"/>
        <v>0</v>
      </c>
      <c r="CN34" s="43">
        <f t="shared" si="75"/>
        <v>386700</v>
      </c>
      <c r="CP34" s="43">
        <f t="shared" si="75"/>
        <v>-769030.75999999989</v>
      </c>
      <c r="CR34" s="43">
        <f>SUM(CH34:CP34)</f>
        <v>0</v>
      </c>
      <c r="CU34" s="51" t="s">
        <v>148</v>
      </c>
      <c r="CV34" s="43">
        <f t="shared" si="76"/>
        <v>228504.14</v>
      </c>
      <c r="CW34" s="52"/>
      <c r="CX34" s="43">
        <f t="shared" si="76"/>
        <v>356135.31</v>
      </c>
      <c r="CZ34" s="43">
        <f t="shared" ref="CZ34" si="124">CZ8</f>
        <v>0</v>
      </c>
      <c r="DB34" s="43">
        <f t="shared" ref="DB34" si="125">DB8</f>
        <v>382500</v>
      </c>
      <c r="DD34" s="43">
        <f t="shared" ref="DD34" si="126">DD8</f>
        <v>-967139.45000000007</v>
      </c>
      <c r="DF34" s="43">
        <f>SUM(CV34:DD34)</f>
        <v>0</v>
      </c>
      <c r="DI34" s="51" t="s">
        <v>148</v>
      </c>
      <c r="DJ34" s="43">
        <f t="shared" si="80"/>
        <v>-13159.539999999979</v>
      </c>
      <c r="DK34" s="52"/>
      <c r="DL34" s="43">
        <f t="shared" si="80"/>
        <v>389004.07000000007</v>
      </c>
      <c r="DN34" s="43">
        <f t="shared" si="80"/>
        <v>0</v>
      </c>
      <c r="DP34" s="43">
        <f t="shared" si="80"/>
        <v>382500</v>
      </c>
      <c r="DR34" s="43">
        <f t="shared" si="80"/>
        <v>-758344.53000000073</v>
      </c>
      <c r="DT34" s="43">
        <f>SUM(DJ34:DR34)</f>
        <v>0</v>
      </c>
      <c r="DW34" s="51" t="s">
        <v>148</v>
      </c>
      <c r="DX34" s="43">
        <f t="shared" si="81"/>
        <v>374106.52798399999</v>
      </c>
      <c r="DY34" s="52"/>
      <c r="DZ34" s="43">
        <f t="shared" si="81"/>
        <v>827434.27999999991</v>
      </c>
      <c r="EB34" s="43">
        <f t="shared" si="81"/>
        <v>0</v>
      </c>
      <c r="ED34" s="43">
        <f t="shared" si="81"/>
        <v>303606.95999999996</v>
      </c>
      <c r="EF34" s="43">
        <f t="shared" si="81"/>
        <v>-1505147.7679839996</v>
      </c>
      <c r="EH34" s="43">
        <f>SUM(DX34:EF34)</f>
        <v>0</v>
      </c>
      <c r="EK34" s="51" t="s">
        <v>148</v>
      </c>
      <c r="EL34" s="43">
        <f>EL8-EZ8</f>
        <v>73519.512015999993</v>
      </c>
      <c r="EM34" s="52"/>
      <c r="EN34" s="43">
        <f>EN8-FB8</f>
        <v>328045.08999999997</v>
      </c>
      <c r="EP34" s="43">
        <f>EP8-FD8</f>
        <v>0</v>
      </c>
      <c r="ER34" s="43">
        <f>ER8-FF8</f>
        <v>411020.53</v>
      </c>
      <c r="ET34" s="43">
        <f>ET8-FH8</f>
        <v>-812585.13201599999</v>
      </c>
      <c r="EV34" s="43">
        <f>SUM(EL34:ET34)</f>
        <v>0</v>
      </c>
      <c r="EY34" s="51" t="s">
        <v>148</v>
      </c>
      <c r="EZ34" s="43">
        <f t="shared" si="82"/>
        <v>0</v>
      </c>
      <c r="FA34" s="52"/>
      <c r="FB34" s="43">
        <f t="shared" si="83"/>
        <v>253033.30000000002</v>
      </c>
      <c r="FD34" s="43">
        <f t="shared" si="83"/>
        <v>0</v>
      </c>
      <c r="FF34" s="43">
        <f t="shared" ref="FF34" si="127">FF8</f>
        <v>432872.51</v>
      </c>
      <c r="FH34" s="43">
        <f t="shared" ref="FH34" si="128">FH8</f>
        <v>-685905.80999999994</v>
      </c>
      <c r="FJ34" s="43">
        <f>SUM(EZ34:FH34)</f>
        <v>0</v>
      </c>
      <c r="FM34" s="51" t="s">
        <v>148</v>
      </c>
      <c r="FN34" s="43">
        <f t="shared" si="86"/>
        <v>0</v>
      </c>
      <c r="FO34" s="52"/>
      <c r="FP34" s="43">
        <f t="shared" si="43"/>
        <v>268687.71999999997</v>
      </c>
      <c r="FR34" s="43">
        <f t="shared" si="44"/>
        <v>0</v>
      </c>
      <c r="FT34" s="43">
        <f t="shared" si="45"/>
        <v>432081.04000000004</v>
      </c>
      <c r="FV34" s="43">
        <f t="shared" si="46"/>
        <v>-700768.76000000024</v>
      </c>
      <c r="FX34" s="43">
        <f>SUM(FN34:FV34)</f>
        <v>0</v>
      </c>
      <c r="GA34" s="51" t="s">
        <v>148</v>
      </c>
      <c r="GB34" s="43">
        <f t="shared" si="87"/>
        <v>1279284.78</v>
      </c>
      <c r="GC34" s="52"/>
      <c r="GD34" s="43">
        <f t="shared" si="47"/>
        <v>265333.66999999993</v>
      </c>
      <c r="GF34" s="43">
        <f t="shared" si="48"/>
        <v>0</v>
      </c>
      <c r="GH34" s="43">
        <f t="shared" si="49"/>
        <v>482808.12999999989</v>
      </c>
      <c r="GJ34" s="43">
        <f t="shared" si="50"/>
        <v>-2027426.5799999996</v>
      </c>
      <c r="GL34" s="43">
        <f>SUM(GB34:GJ34)</f>
        <v>0</v>
      </c>
      <c r="GO34" s="51" t="s">
        <v>148</v>
      </c>
      <c r="GP34" s="43">
        <f t="shared" si="88"/>
        <v>0</v>
      </c>
      <c r="GQ34" s="52"/>
      <c r="GR34" s="43">
        <f t="shared" si="51"/>
        <v>1021009.2200000001</v>
      </c>
      <c r="GT34" s="43">
        <f t="shared" si="52"/>
        <v>0</v>
      </c>
      <c r="GV34" s="43">
        <f t="shared" si="53"/>
        <v>489088.79000000004</v>
      </c>
      <c r="GX34" s="43">
        <f t="shared" si="54"/>
        <v>-1510098.0099999998</v>
      </c>
      <c r="GZ34" s="43">
        <f>SUM(GP34:GX34)</f>
        <v>0</v>
      </c>
      <c r="HC34" s="51" t="s">
        <v>148</v>
      </c>
      <c r="HD34" s="43">
        <f t="shared" ref="HD34" si="129">HD8</f>
        <v>0</v>
      </c>
      <c r="HE34" s="52"/>
      <c r="HF34" s="43">
        <f t="shared" ref="HF34" si="130">HF8</f>
        <v>245401.62</v>
      </c>
      <c r="HH34" s="43">
        <f t="shared" si="91"/>
        <v>0</v>
      </c>
      <c r="HJ34" s="43">
        <f t="shared" si="92"/>
        <v>411000</v>
      </c>
      <c r="HL34" s="43">
        <f t="shared" si="93"/>
        <v>-656401.62</v>
      </c>
      <c r="HN34" s="43">
        <f>SUM(HD34:HL34)</f>
        <v>0</v>
      </c>
      <c r="HQ34" s="51" t="s">
        <v>148</v>
      </c>
      <c r="HR34" s="43">
        <f t="shared" si="94"/>
        <v>0</v>
      </c>
      <c r="HS34" s="52"/>
      <c r="HT34" s="43">
        <f t="shared" si="95"/>
        <v>241652.87000000011</v>
      </c>
      <c r="HV34" s="43">
        <f t="shared" si="96"/>
        <v>0</v>
      </c>
      <c r="HX34" s="43">
        <f t="shared" si="97"/>
        <v>411000</v>
      </c>
      <c r="HZ34" s="43">
        <f t="shared" si="98"/>
        <v>-652652.87000000011</v>
      </c>
      <c r="IB34" s="43">
        <f>SUM(HR34:HZ34)</f>
        <v>0</v>
      </c>
      <c r="IE34" s="51" t="s">
        <v>148</v>
      </c>
      <c r="IF34" s="43">
        <f t="shared" si="99"/>
        <v>0</v>
      </c>
      <c r="IG34" s="52"/>
      <c r="IH34" s="43">
        <f t="shared" si="99"/>
        <v>237044.21000000002</v>
      </c>
      <c r="IJ34" s="43">
        <f t="shared" si="99"/>
        <v>0</v>
      </c>
      <c r="IL34" s="43">
        <f t="shared" si="99"/>
        <v>411000</v>
      </c>
      <c r="IN34" s="43">
        <f t="shared" si="55"/>
        <v>-648044.21</v>
      </c>
      <c r="IP34" s="43">
        <f>SUM(IF34:IN34)</f>
        <v>0</v>
      </c>
      <c r="IS34" s="51" t="s">
        <v>148</v>
      </c>
      <c r="IT34" s="43">
        <f t="shared" si="100"/>
        <v>0</v>
      </c>
      <c r="IU34" s="52"/>
      <c r="IV34" s="43">
        <f t="shared" si="100"/>
        <v>266963.29000000004</v>
      </c>
      <c r="IX34" s="43">
        <f t="shared" si="100"/>
        <v>0</v>
      </c>
      <c r="IZ34" s="43">
        <f t="shared" si="100"/>
        <v>411000</v>
      </c>
      <c r="JB34" s="43">
        <f t="shared" si="100"/>
        <v>-599138</v>
      </c>
      <c r="JD34" s="43">
        <f>SUM(IT34:JB34)</f>
        <v>78825.290000000037</v>
      </c>
      <c r="JG34" s="51" t="s">
        <v>148</v>
      </c>
      <c r="JH34" s="43">
        <f t="shared" si="101"/>
        <v>0</v>
      </c>
      <c r="JI34" s="52"/>
      <c r="JJ34" s="43">
        <f t="shared" si="101"/>
        <v>236687.27</v>
      </c>
      <c r="JL34" s="43">
        <f t="shared" ref="JL34" si="131">JL8</f>
        <v>0</v>
      </c>
      <c r="JN34" s="43">
        <f t="shared" ref="JN34" si="132">JN8</f>
        <v>411000</v>
      </c>
      <c r="JP34" s="43">
        <f t="shared" ref="JP34" si="133">JP8</f>
        <v>-726512.56</v>
      </c>
      <c r="JR34" s="43">
        <f>SUM(JH34:JP34)</f>
        <v>-78825.290000000037</v>
      </c>
      <c r="JU34" s="51" t="s">
        <v>148</v>
      </c>
      <c r="JV34" s="43">
        <f t="shared" si="105"/>
        <v>0</v>
      </c>
      <c r="JW34" s="52"/>
      <c r="JX34" s="43">
        <f t="shared" si="106"/>
        <v>260417.3899999999</v>
      </c>
      <c r="JZ34" s="43">
        <f t="shared" si="107"/>
        <v>0</v>
      </c>
      <c r="KB34" s="43">
        <f t="shared" si="108"/>
        <v>136500</v>
      </c>
      <c r="KD34" s="43">
        <f t="shared" si="109"/>
        <v>-396917.39000000013</v>
      </c>
      <c r="KF34" s="43">
        <f>SUM(JV34:KD34)</f>
        <v>0</v>
      </c>
      <c r="KI34" s="51" t="s">
        <v>148</v>
      </c>
      <c r="KJ34" s="43">
        <f t="shared" si="110"/>
        <v>0</v>
      </c>
      <c r="KK34" s="52"/>
      <c r="KL34" s="43">
        <f t="shared" si="56"/>
        <v>234642.92000000004</v>
      </c>
      <c r="KN34" s="43">
        <f t="shared" si="57"/>
        <v>0</v>
      </c>
      <c r="KP34" s="43">
        <f t="shared" si="58"/>
        <v>502500</v>
      </c>
      <c r="KR34" s="43">
        <f t="shared" si="59"/>
        <v>-737142.91999999993</v>
      </c>
      <c r="KT34" s="43">
        <f>SUM(KJ34:KR34)</f>
        <v>0</v>
      </c>
      <c r="KW34" s="51" t="s">
        <v>148</v>
      </c>
      <c r="KX34" s="43">
        <f t="shared" si="111"/>
        <v>0</v>
      </c>
      <c r="KY34" s="52"/>
      <c r="KZ34" s="43">
        <f t="shared" si="112"/>
        <v>242953.74</v>
      </c>
      <c r="LB34" s="43">
        <f t="shared" si="113"/>
        <v>0</v>
      </c>
      <c r="LD34" s="43">
        <f t="shared" si="114"/>
        <v>502500</v>
      </c>
      <c r="LF34" s="43">
        <f t="shared" si="115"/>
        <v>-745453.74000000011</v>
      </c>
      <c r="LH34" s="43">
        <f>SUM(KX34:LF34)</f>
        <v>0</v>
      </c>
      <c r="LJ34" s="51" t="s">
        <v>148</v>
      </c>
      <c r="LK34" s="43">
        <f t="shared" si="116"/>
        <v>0</v>
      </c>
      <c r="LL34" s="52"/>
      <c r="LM34" s="43">
        <f t="shared" si="60"/>
        <v>307449.08999999997</v>
      </c>
      <c r="LO34" s="43">
        <f t="shared" si="61"/>
        <v>0</v>
      </c>
      <c r="LP34" s="164"/>
      <c r="LQ34" s="43">
        <f t="shared" si="62"/>
        <v>502500</v>
      </c>
      <c r="LS34" s="43">
        <f t="shared" si="63"/>
        <v>-809949.09</v>
      </c>
      <c r="LU34" s="43">
        <f t="shared" si="117"/>
        <v>0</v>
      </c>
      <c r="LW34" s="51" t="s">
        <v>148</v>
      </c>
      <c r="LX34" s="43">
        <f t="shared" si="118"/>
        <v>0</v>
      </c>
      <c r="LY34" s="52"/>
      <c r="LZ34" s="43">
        <f t="shared" si="118"/>
        <v>230908.18999999994</v>
      </c>
      <c r="MB34" s="43">
        <f t="shared" si="118"/>
        <v>0</v>
      </c>
      <c r="MD34" s="43">
        <f t="shared" si="118"/>
        <v>502500</v>
      </c>
      <c r="MF34" s="43">
        <f t="shared" si="118"/>
        <v>-733408.19</v>
      </c>
      <c r="MH34" s="43">
        <f>SUM(LX34:MF34)</f>
        <v>0</v>
      </c>
      <c r="MK34" s="51" t="s">
        <v>148</v>
      </c>
      <c r="ML34" s="43">
        <f t="shared" si="119"/>
        <v>0</v>
      </c>
      <c r="MM34" s="52"/>
      <c r="MN34" s="43">
        <f t="shared" si="64"/>
        <v>249294.39</v>
      </c>
      <c r="MP34" s="43">
        <f t="shared" si="65"/>
        <v>0</v>
      </c>
      <c r="MR34" s="43">
        <f t="shared" si="66"/>
        <v>502500</v>
      </c>
      <c r="MT34" s="43">
        <f t="shared" si="67"/>
        <v>-751794.39000000013</v>
      </c>
      <c r="MV34" s="43">
        <f>SUM(ML34:MT34)</f>
        <v>0</v>
      </c>
      <c r="MY34" s="51" t="s">
        <v>148</v>
      </c>
      <c r="MZ34" s="43">
        <f t="shared" si="120"/>
        <v>0</v>
      </c>
      <c r="NA34" s="52"/>
      <c r="NB34" s="43">
        <f t="shared" si="120"/>
        <v>196856.06000000006</v>
      </c>
      <c r="ND34" s="43">
        <f t="shared" si="120"/>
        <v>0</v>
      </c>
      <c r="NF34" s="43">
        <f t="shared" si="120"/>
        <v>444000</v>
      </c>
      <c r="NH34" s="43">
        <f t="shared" si="120"/>
        <v>-640856.05999999994</v>
      </c>
      <c r="NJ34" s="43">
        <f>SUM(MZ34:NH34)</f>
        <v>0</v>
      </c>
      <c r="NL34" s="51" t="s">
        <v>148</v>
      </c>
      <c r="NM34" s="43">
        <f>NM8</f>
        <v>0</v>
      </c>
      <c r="NN34" s="52"/>
      <c r="NO34" s="43">
        <f>NO8</f>
        <v>253847.58999999997</v>
      </c>
      <c r="NQ34" s="43">
        <f>NQ8</f>
        <v>0</v>
      </c>
      <c r="NR34" s="164"/>
      <c r="NS34" s="43">
        <f>NS8</f>
        <v>561000</v>
      </c>
      <c r="NU34" s="43">
        <f>NU8</f>
        <v>-814847.59</v>
      </c>
      <c r="NW34" s="43">
        <f>SUM(NM34:NU34)</f>
        <v>0</v>
      </c>
      <c r="NY34" s="51" t="s">
        <v>148</v>
      </c>
      <c r="NZ34" s="43">
        <f>NZ8-OM8</f>
        <v>0</v>
      </c>
      <c r="OA34" s="52"/>
      <c r="OB34" s="43">
        <f>OB8-OO8+226860</f>
        <v>527267.62999999989</v>
      </c>
      <c r="OD34" s="156">
        <f>OD8-OQ8</f>
        <v>0</v>
      </c>
      <c r="OF34" s="43">
        <f>OF8-OS8</f>
        <v>-429000</v>
      </c>
      <c r="OH34" s="43">
        <f>OH8-OU8-226860</f>
        <v>-98267.629999999888</v>
      </c>
      <c r="OJ34" s="43">
        <f t="shared" si="121"/>
        <v>0</v>
      </c>
      <c r="OL34" s="51" t="s">
        <v>148</v>
      </c>
      <c r="OM34" s="43">
        <f>OM8-OZ8</f>
        <v>0</v>
      </c>
      <c r="ON34" s="52"/>
      <c r="OO34" s="43">
        <f>OO8-PB8</f>
        <v>504254.29999999981</v>
      </c>
      <c r="OQ34" s="130">
        <f>OQ8-PD8</f>
        <v>0</v>
      </c>
      <c r="OS34" s="43">
        <f>OS8-PF8</f>
        <v>771000</v>
      </c>
      <c r="OU34" s="43">
        <f>OU8-PH8</f>
        <v>-1275254.2999999998</v>
      </c>
      <c r="OW34" s="43">
        <f>SUM(OM34:OU34)</f>
        <v>0</v>
      </c>
      <c r="OY34" s="51" t="s">
        <v>148</v>
      </c>
      <c r="OZ34" s="43">
        <f>OZ8-PM8</f>
        <v>0</v>
      </c>
      <c r="PA34" s="52"/>
      <c r="PB34" s="43">
        <f>PB8-PO8</f>
        <v>456273.9600000002</v>
      </c>
      <c r="PD34" s="130">
        <f>PD8-PQ8</f>
        <v>0</v>
      </c>
      <c r="PF34" s="43">
        <f>PF8-PS8</f>
        <v>771000</v>
      </c>
      <c r="PH34" s="43">
        <f>PH8-PU8</f>
        <v>-1227273.96</v>
      </c>
      <c r="PJ34" s="43">
        <f>SUM(OZ34:PH34)</f>
        <v>0</v>
      </c>
      <c r="PL34" s="51" t="s">
        <v>148</v>
      </c>
      <c r="PM34" s="43">
        <f>PM8-PZ8-QD8</f>
        <v>0</v>
      </c>
      <c r="PN34" s="52"/>
      <c r="PO34" s="43">
        <f>PO8-QB8</f>
        <v>225309.27000000002</v>
      </c>
      <c r="PQ34" s="130">
        <v>0</v>
      </c>
      <c r="PS34" s="43">
        <f>PS8-QF8</f>
        <v>861000</v>
      </c>
      <c r="PU34" s="43">
        <f>PU8-QH8</f>
        <v>-1086309.2699999996</v>
      </c>
      <c r="PW34" s="43">
        <f>SUM(PM34:PU34)</f>
        <v>0</v>
      </c>
      <c r="PY34" s="51" t="s">
        <v>148</v>
      </c>
      <c r="PZ34" s="43">
        <f>PZ8-QM8</f>
        <v>0</v>
      </c>
      <c r="QA34" s="52"/>
      <c r="QB34" s="43">
        <f>QB8-QO8</f>
        <v>132518.67999999993</v>
      </c>
      <c r="QD34" s="43">
        <f>QD8-QQ8</f>
        <v>0</v>
      </c>
      <c r="QF34" s="43">
        <f>QF8-QS8</f>
        <v>861000</v>
      </c>
      <c r="QH34" s="43">
        <f>QH8-QU8</f>
        <v>-993518.68000000063</v>
      </c>
      <c r="QJ34" s="43">
        <f>SUM(PZ34:QH34)</f>
        <v>0</v>
      </c>
      <c r="QL34" s="51" t="s">
        <v>148</v>
      </c>
      <c r="QM34" s="43">
        <f>QM8-QZ8</f>
        <v>0</v>
      </c>
      <c r="QN34" s="52"/>
      <c r="QO34" s="43">
        <f>QO8-RB8</f>
        <v>1619286.5</v>
      </c>
      <c r="QQ34" s="43">
        <f>QQ8-RD8</f>
        <v>0</v>
      </c>
      <c r="QS34" s="43">
        <f>QS8-RF8</f>
        <v>861000</v>
      </c>
      <c r="QU34" s="43">
        <f>QU8-RH8</f>
        <v>-2480286.5</v>
      </c>
      <c r="QW34" s="43">
        <f>SUM(QM34:QU34)</f>
        <v>0</v>
      </c>
      <c r="QY34" s="51" t="s">
        <v>148</v>
      </c>
      <c r="QZ34" s="43">
        <f>QZ8</f>
        <v>0</v>
      </c>
      <c r="RA34" s="52"/>
      <c r="RB34" s="43">
        <f>RB8</f>
        <v>0</v>
      </c>
      <c r="RD34" s="43">
        <f>RD8</f>
        <v>0</v>
      </c>
      <c r="RF34" s="43">
        <f>RF8</f>
        <v>861000</v>
      </c>
      <c r="RH34" s="43">
        <f>RH8</f>
        <v>-861000</v>
      </c>
      <c r="RJ34" s="43">
        <f>SUM(QZ34:RH34)</f>
        <v>0</v>
      </c>
      <c r="RL34" s="51" t="s">
        <v>148</v>
      </c>
      <c r="RM34" s="43">
        <f>RM8-RZ8</f>
        <v>0</v>
      </c>
      <c r="RN34" s="52"/>
      <c r="RO34" s="43">
        <f>RO8-SB8</f>
        <v>3094100</v>
      </c>
      <c r="RQ34" s="43">
        <f>RQ8-SD8</f>
        <v>0</v>
      </c>
      <c r="RS34" s="43">
        <f>RS8-SF8</f>
        <v>1629106.0400000014</v>
      </c>
      <c r="RU34" s="43">
        <f>RU8-SH8</f>
        <v>-4723206.040000001</v>
      </c>
      <c r="RW34" s="43">
        <f>SUM(RM34:RU34)</f>
        <v>0</v>
      </c>
      <c r="RY34" s="51" t="s">
        <v>148</v>
      </c>
      <c r="RZ34" s="43">
        <f>RZ8-SM8</f>
        <v>0</v>
      </c>
      <c r="SA34" s="52"/>
      <c r="SB34" s="43">
        <f>SB8-SO8</f>
        <v>69380</v>
      </c>
      <c r="SD34" s="43">
        <f>SD8-SQ8</f>
        <v>-231979.51</v>
      </c>
      <c r="SF34" s="43">
        <f>SF8-SS8</f>
        <v>1217116.6600000001</v>
      </c>
      <c r="SH34" s="43">
        <f>SH8-SU8</f>
        <v>-1054517.1500000004</v>
      </c>
      <c r="SJ34" s="43">
        <f>SUM(RZ34:SH34)</f>
        <v>0</v>
      </c>
      <c r="SL34" s="51" t="s">
        <v>148</v>
      </c>
      <c r="SM34" s="43">
        <f>SM8-SZ8</f>
        <v>0</v>
      </c>
      <c r="SN34" s="52"/>
      <c r="SO34" s="43">
        <f>SO8-TB8</f>
        <v>648040.18000000005</v>
      </c>
      <c r="SQ34" s="43">
        <f>SQ8-TD8</f>
        <v>175579.51</v>
      </c>
      <c r="SS34" s="43">
        <f>SS8-TF8</f>
        <v>1617774.9899999998</v>
      </c>
      <c r="SU34" s="43">
        <f>SU8-TH8</f>
        <v>-2441394.6799999997</v>
      </c>
      <c r="SY34" s="51" t="s">
        <v>148</v>
      </c>
      <c r="SZ34" s="43">
        <f>SZ8</f>
        <v>0</v>
      </c>
      <c r="TA34" s="52"/>
      <c r="TB34" s="43">
        <f>TB8</f>
        <v>44100</v>
      </c>
      <c r="TD34" s="43">
        <f>TD8</f>
        <v>56400</v>
      </c>
      <c r="TF34" s="43">
        <f>TF8</f>
        <v>810000</v>
      </c>
      <c r="TH34" s="43">
        <f>TH8</f>
        <v>-910500</v>
      </c>
      <c r="TJ34" s="43">
        <f>SUM(SZ34:TH34)</f>
        <v>0</v>
      </c>
      <c r="TL34" s="51" t="s">
        <v>148</v>
      </c>
      <c r="TM34" s="43">
        <f>TM8-TZ8</f>
        <v>0</v>
      </c>
      <c r="TN34" s="52"/>
      <c r="TO34" s="43">
        <f>TO8-UB8</f>
        <v>947430</v>
      </c>
      <c r="TQ34" s="43">
        <f>TQ8-UD8</f>
        <v>215731</v>
      </c>
      <c r="TS34" s="43">
        <f>TS8-UF8</f>
        <v>1184100</v>
      </c>
      <c r="TU34" s="43">
        <f>TU8-UH8</f>
        <v>-2347261</v>
      </c>
      <c r="TW34" s="43">
        <f>SUM(TM34:TU34)</f>
        <v>0</v>
      </c>
      <c r="TY34" s="51" t="s">
        <v>148</v>
      </c>
      <c r="TZ34" s="43">
        <f>TZ8-UM8</f>
        <v>0</v>
      </c>
      <c r="UA34" s="52"/>
      <c r="UB34" s="43">
        <f>UB8-UO8</f>
        <v>0</v>
      </c>
      <c r="UD34" s="43">
        <f>UD8-UQ8</f>
        <v>549045</v>
      </c>
      <c r="UF34" s="43">
        <f>UF8-US8</f>
        <v>1184100</v>
      </c>
      <c r="UH34" s="43">
        <f>UH8-UU8</f>
        <v>-1733144.9999999995</v>
      </c>
      <c r="UJ34" s="43">
        <f>SUM(TZ34:UH34)</f>
        <v>0</v>
      </c>
      <c r="UL34" s="51" t="s">
        <v>148</v>
      </c>
      <c r="UM34" s="43">
        <f>UM8-UZ8</f>
        <v>0</v>
      </c>
      <c r="UN34" s="52"/>
      <c r="UO34" s="43">
        <f>UO8-VB8</f>
        <v>6597.28</v>
      </c>
      <c r="UQ34" s="43">
        <f>UQ8-VD8</f>
        <v>104512.49</v>
      </c>
      <c r="US34" s="43">
        <f>US8-VF8</f>
        <v>1177500</v>
      </c>
      <c r="UU34" s="43">
        <f>UU8-VH8</f>
        <v>-1288612.49</v>
      </c>
      <c r="UY34" s="51" t="s">
        <v>148</v>
      </c>
      <c r="UZ34" s="43">
        <f>UZ8</f>
        <v>0</v>
      </c>
      <c r="VA34" s="52"/>
      <c r="VB34" s="43">
        <f>VB8</f>
        <v>0</v>
      </c>
      <c r="VD34" s="43">
        <f>VD8</f>
        <v>0</v>
      </c>
      <c r="VF34" s="43">
        <f>VF8</f>
        <v>1190700</v>
      </c>
      <c r="VH34" s="43">
        <f>VH8</f>
        <v>-1190697.28</v>
      </c>
      <c r="VJ34" s="43">
        <f>SUM(UZ34:VH34)</f>
        <v>2.7199999999720603</v>
      </c>
      <c r="VL34" s="51" t="s">
        <v>148</v>
      </c>
      <c r="VM34" s="43">
        <f>VM8-VZ8</f>
        <v>0</v>
      </c>
      <c r="VN34" s="52"/>
      <c r="VO34" s="43">
        <f>VO8-WB8</f>
        <v>0</v>
      </c>
      <c r="VQ34" s="43">
        <f>VQ8-WD8</f>
        <v>889296</v>
      </c>
      <c r="VS34" s="43">
        <f>VS8-WF8</f>
        <v>1199244.5899999999</v>
      </c>
      <c r="VU34" s="43">
        <f>VU8-WH8</f>
        <v>-2088540.5899999999</v>
      </c>
      <c r="VW34" s="43">
        <f>SUM(VM34:VU34)</f>
        <v>0</v>
      </c>
      <c r="VY34" s="51" t="s">
        <v>148</v>
      </c>
      <c r="VZ34" s="43">
        <f>VZ8-WM8</f>
        <v>0</v>
      </c>
      <c r="WA34" s="52"/>
      <c r="WB34" s="43">
        <f>WB8-WO8</f>
        <v>0</v>
      </c>
      <c r="WD34" s="43">
        <f>WD8-WQ8</f>
        <v>0</v>
      </c>
      <c r="WF34" s="43">
        <f>WF8-WS8</f>
        <v>1189502.6600000001</v>
      </c>
      <c r="WH34" s="43">
        <f>WH8-WU8</f>
        <v>-1189502.6600000001</v>
      </c>
      <c r="WJ34" s="43">
        <f>SUM(VZ34:WH34)</f>
        <v>0</v>
      </c>
      <c r="WL34" s="51" t="s">
        <v>148</v>
      </c>
      <c r="WM34" s="43">
        <f>WM8-WZ8</f>
        <v>0</v>
      </c>
      <c r="WN34" s="52"/>
      <c r="WO34" s="43">
        <f>WO8-XB8</f>
        <v>0</v>
      </c>
      <c r="WQ34" s="43">
        <f>WQ8-XD8</f>
        <v>0</v>
      </c>
      <c r="WS34" s="43">
        <f>WS8-XF8</f>
        <v>1320246.2600000002</v>
      </c>
      <c r="WU34" s="43">
        <f>WU8-XH8</f>
        <v>-1320246.2600000002</v>
      </c>
      <c r="WW34" s="43">
        <f>SUM(WM34:WU34)</f>
        <v>0</v>
      </c>
      <c r="WY34" s="51" t="s">
        <v>148</v>
      </c>
      <c r="WZ34" s="43">
        <f>WZ8</f>
        <v>0</v>
      </c>
      <c r="XA34" s="52"/>
      <c r="XB34" s="43">
        <f>XB8</f>
        <v>0</v>
      </c>
      <c r="XD34" s="43">
        <f>XD8</f>
        <v>0</v>
      </c>
      <c r="XF34" s="43">
        <f>XF8</f>
        <v>1223607.73</v>
      </c>
      <c r="XH34" s="43">
        <f>XH8</f>
        <v>-1223607.73</v>
      </c>
      <c r="XJ34" s="43">
        <f>SUM(WZ34:XH34)</f>
        <v>0</v>
      </c>
      <c r="XL34" s="51" t="s">
        <v>148</v>
      </c>
      <c r="XM34" s="43">
        <f>XM8-XZ8</f>
        <v>0</v>
      </c>
      <c r="XN34" s="52"/>
      <c r="XO34" s="43">
        <f>XO8-YB8</f>
        <v>0</v>
      </c>
      <c r="XQ34" s="43">
        <f>XQ8-YD8</f>
        <v>0</v>
      </c>
      <c r="XS34" s="43">
        <f>XS8-YF8</f>
        <v>1259000.2122908253</v>
      </c>
      <c r="XU34" s="43">
        <f>XU8-YH8</f>
        <v>-1259000.2122908253</v>
      </c>
      <c r="XW34" s="43">
        <f>SUM(XM34:XU34)</f>
        <v>0</v>
      </c>
      <c r="XY34" s="51"/>
      <c r="XZ34" s="43"/>
      <c r="YA34" s="52"/>
    </row>
    <row r="35" spans="1:660">
      <c r="B35" s="43"/>
      <c r="P35" s="43"/>
      <c r="AD35" s="43"/>
      <c r="AR35" s="43"/>
      <c r="BF35" s="43"/>
      <c r="BT35" s="43"/>
      <c r="CH35" s="43"/>
      <c r="CV35" s="43"/>
      <c r="DJ35" s="43"/>
      <c r="DX35" s="43"/>
      <c r="EL35" s="43"/>
      <c r="EZ35" s="43"/>
      <c r="FN35" s="43"/>
      <c r="GB35" s="43"/>
      <c r="GP35" s="43"/>
      <c r="HD35" s="43"/>
      <c r="HR35" s="43"/>
      <c r="IF35" s="43"/>
      <c r="IT35" s="43"/>
      <c r="JH35" s="43"/>
      <c r="JV35" s="43"/>
      <c r="KJ35" s="43"/>
      <c r="KX35" s="43"/>
      <c r="LB35" s="156"/>
      <c r="LK35" s="43"/>
      <c r="LO35" s="156"/>
      <c r="LP35" s="164"/>
      <c r="LS35" s="43">
        <f t="shared" si="63"/>
        <v>0</v>
      </c>
      <c r="LX35" s="43"/>
      <c r="ML35" s="43"/>
      <c r="MZ35" s="43"/>
      <c r="ND35" s="156"/>
      <c r="NM35" s="43"/>
      <c r="NQ35" s="156"/>
      <c r="NR35" s="164"/>
      <c r="NZ35" s="43"/>
      <c r="OD35" s="156"/>
      <c r="OM35" s="43"/>
      <c r="OQ35" s="130"/>
      <c r="OZ35" s="43"/>
      <c r="PD35" s="130"/>
      <c r="PM35" s="43"/>
      <c r="PQ35" s="130"/>
      <c r="PZ35" s="43"/>
      <c r="QM35" s="43"/>
      <c r="QZ35" s="43"/>
      <c r="RM35" s="43"/>
      <c r="RZ35" s="43"/>
      <c r="SM35" s="43"/>
      <c r="SZ35" s="43"/>
      <c r="TM35" s="43"/>
      <c r="TZ35" s="43"/>
      <c r="UM35" s="43"/>
      <c r="UZ35" s="43"/>
      <c r="VM35" s="43"/>
      <c r="VZ35" s="43"/>
      <c r="WM35" s="43"/>
      <c r="WZ35" s="43"/>
      <c r="XM35" s="43"/>
      <c r="XZ35" s="43"/>
    </row>
    <row r="36" spans="1:660">
      <c r="A36" s="48" t="s">
        <v>149</v>
      </c>
      <c r="B36" s="49"/>
      <c r="C36" s="50"/>
      <c r="D36" s="49"/>
      <c r="E36" s="49"/>
      <c r="F36" s="166"/>
      <c r="G36" s="49"/>
      <c r="H36" s="49"/>
      <c r="I36" s="49"/>
      <c r="J36" s="49"/>
      <c r="K36" s="49"/>
      <c r="L36" s="49"/>
      <c r="O36" s="48" t="s">
        <v>149</v>
      </c>
      <c r="P36" s="49"/>
      <c r="Q36" s="50"/>
      <c r="R36" s="49"/>
      <c r="S36" s="49"/>
      <c r="T36" s="166"/>
      <c r="U36" s="49"/>
      <c r="V36" s="49"/>
      <c r="W36" s="49"/>
      <c r="X36" s="49"/>
      <c r="Y36" s="49"/>
      <c r="Z36" s="49"/>
      <c r="AC36" s="48" t="s">
        <v>149</v>
      </c>
      <c r="AD36" s="49"/>
      <c r="AE36" s="50"/>
      <c r="AF36" s="49"/>
      <c r="AG36" s="49"/>
      <c r="AH36" s="166"/>
      <c r="AI36" s="49"/>
      <c r="AJ36" s="49"/>
      <c r="AK36" s="49"/>
      <c r="AL36" s="49"/>
      <c r="AM36" s="49"/>
      <c r="AN36" s="49"/>
      <c r="AQ36" s="48" t="s">
        <v>149</v>
      </c>
      <c r="AR36" s="49">
        <f>SUM(AR37:AR43)</f>
        <v>-142753720.66954711</v>
      </c>
      <c r="AS36" s="50"/>
      <c r="AT36" s="49">
        <f>SUM(AT37:AT43)</f>
        <v>-9495959.7562128119</v>
      </c>
      <c r="AU36" s="49"/>
      <c r="AV36" s="166">
        <f>SUM(AV37:AV43)</f>
        <v>-4913144.5500000007</v>
      </c>
      <c r="AW36" s="49"/>
      <c r="AX36" s="49">
        <f>SUM(AX37:AX43)</f>
        <v>-5530700.9688104279</v>
      </c>
      <c r="AY36" s="49"/>
      <c r="AZ36" s="49">
        <f>SUM(AZ37:AZ43)</f>
        <v>1021642.55</v>
      </c>
      <c r="BA36" s="49"/>
      <c r="BB36" s="49">
        <f>SUM(AR36:AZ36)</f>
        <v>-161671883.39457035</v>
      </c>
      <c r="BE36" s="48" t="s">
        <v>149</v>
      </c>
      <c r="BF36" s="49">
        <f>SUM(BF37:BF43)</f>
        <v>-95108785.566617042</v>
      </c>
      <c r="BG36" s="50"/>
      <c r="BH36" s="49">
        <f>SUM(BH37:BH43)</f>
        <v>-9635528.5597422309</v>
      </c>
      <c r="BI36" s="49"/>
      <c r="BJ36" s="166">
        <f>SUM(BJ37:BJ43)</f>
        <v>-5906428.8000000007</v>
      </c>
      <c r="BK36" s="49"/>
      <c r="BL36" s="49">
        <f>SUM(BL37:BL43)</f>
        <v>-6978460.0219598273</v>
      </c>
      <c r="BM36" s="49"/>
      <c r="BN36" s="49">
        <f>SUM(BN37:BN43)</f>
        <v>777722.66881388938</v>
      </c>
      <c r="BO36" s="49"/>
      <c r="BP36" s="49">
        <f>SUM(BF36:BN36)</f>
        <v>-116851480.27950521</v>
      </c>
      <c r="BS36" s="48" t="s">
        <v>149</v>
      </c>
      <c r="BT36" s="49">
        <f>SUM(BT37:BT43)</f>
        <v>-83677624.654904976</v>
      </c>
      <c r="BU36" s="50"/>
      <c r="BV36" s="49">
        <f>SUM(BV37:BV43)</f>
        <v>-7680885.986529558</v>
      </c>
      <c r="BW36" s="49"/>
      <c r="BX36" s="166">
        <f>SUM(BX37:BX43)</f>
        <v>-8069667.5800000001</v>
      </c>
      <c r="BY36" s="49"/>
      <c r="BZ36" s="49">
        <f>SUM(BZ37:BZ43)</f>
        <v>-4807184.4594246596</v>
      </c>
      <c r="CA36" s="49"/>
      <c r="CB36" s="49">
        <f>SUM(CB37:CB43)</f>
        <v>929780.30463133764</v>
      </c>
      <c r="CC36" s="49"/>
      <c r="CD36" s="49">
        <f>SUM(BT36:CB36)</f>
        <v>-103305582.37622786</v>
      </c>
      <c r="CG36" s="48" t="s">
        <v>149</v>
      </c>
      <c r="CH36" s="49">
        <f>SUM(CH37:CH43)</f>
        <v>-52952123.267670438</v>
      </c>
      <c r="CI36" s="50"/>
      <c r="CJ36" s="49">
        <f>SUM(CJ37:CJ43)</f>
        <v>-9445952.597619636</v>
      </c>
      <c r="CK36" s="49"/>
      <c r="CL36" s="166">
        <f>SUM(CL37:CL43)</f>
        <v>-5201126.7299999986</v>
      </c>
      <c r="CM36" s="49"/>
      <c r="CN36" s="49">
        <f>SUM(CN37:CN43)</f>
        <v>-4347743.0950962156</v>
      </c>
      <c r="CO36" s="49"/>
      <c r="CP36" s="49">
        <f>SUM(CP37:CP43)</f>
        <v>853914.05147144012</v>
      </c>
      <c r="CQ36" s="49"/>
      <c r="CR36" s="49">
        <f>SUM(CH36:CP36)</f>
        <v>-71093031.638914853</v>
      </c>
      <c r="CU36" s="48" t="s">
        <v>149</v>
      </c>
      <c r="CV36" s="49">
        <f>SUM(CV37:CV43)</f>
        <v>-209704623.16273841</v>
      </c>
      <c r="CW36" s="50"/>
      <c r="CX36" s="49">
        <f>SUM(CX37:CX43)</f>
        <v>-6984599.4378931886</v>
      </c>
      <c r="CY36" s="49"/>
      <c r="CZ36" s="166">
        <f>SUM(CZ37:CZ43)</f>
        <v>-4108606.5500000003</v>
      </c>
      <c r="DA36" s="49"/>
      <c r="DB36" s="49">
        <f>SUM(DB37:DB43)</f>
        <v>-6184035.3928943882</v>
      </c>
      <c r="DC36" s="49"/>
      <c r="DD36" s="49">
        <f>SUM(DD37:DD43)</f>
        <v>1052900.2400000002</v>
      </c>
      <c r="DE36" s="49"/>
      <c r="DF36" s="49">
        <f>SUM(CV36:DD36)</f>
        <v>-225928964.30352598</v>
      </c>
      <c r="DI36" s="48" t="s">
        <v>149</v>
      </c>
      <c r="DJ36" s="49">
        <f>SUM(DJ37:DJ43)</f>
        <v>-92791533.122714132</v>
      </c>
      <c r="DK36" s="50"/>
      <c r="DL36" s="49">
        <f>SUM(DL37:DL43)</f>
        <v>-7849611.6098211966</v>
      </c>
      <c r="DM36" s="49"/>
      <c r="DN36" s="166">
        <f>SUM(DN37:DN43)</f>
        <v>-5121438.6399999997</v>
      </c>
      <c r="DO36" s="49"/>
      <c r="DP36" s="49">
        <f>SUM(DP37:DP43)</f>
        <v>-8333781.9706295747</v>
      </c>
      <c r="DQ36" s="49"/>
      <c r="DR36" s="49">
        <f>SUM(DR37:DR43)</f>
        <v>1423721.8381157932</v>
      </c>
      <c r="DS36" s="49"/>
      <c r="DT36" s="49">
        <f>SUM(DJ36:DR36)</f>
        <v>-112672643.50504911</v>
      </c>
      <c r="DW36" s="48" t="s">
        <v>149</v>
      </c>
      <c r="DX36" s="49">
        <f>SUM(DX37:DX43)</f>
        <v>-70389186.753826052</v>
      </c>
      <c r="DY36" s="50"/>
      <c r="DZ36" s="49">
        <f>SUM(DZ37:DZ43)</f>
        <v>-6587387.9769985648</v>
      </c>
      <c r="EA36" s="49"/>
      <c r="EB36" s="166">
        <f>SUM(EB37:EB43)</f>
        <v>-4863097.1099999994</v>
      </c>
      <c r="EC36" s="49"/>
      <c r="ED36" s="49">
        <f>SUM(ED37:ED43)</f>
        <v>-4468056.7915385636</v>
      </c>
      <c r="EE36" s="49"/>
      <c r="EF36" s="49">
        <f>SUM(EF37:EF43)</f>
        <v>1638201.6270523332</v>
      </c>
      <c r="EG36" s="49"/>
      <c r="EH36" s="49">
        <f>SUM(DX36:EF36)</f>
        <v>-84669527.005310848</v>
      </c>
      <c r="EK36" s="48" t="s">
        <v>149</v>
      </c>
      <c r="EL36" s="49">
        <f>SUM(EL37:EL43)</f>
        <v>-45860839.626299962</v>
      </c>
      <c r="EM36" s="50"/>
      <c r="EN36" s="49">
        <f>SUM(EN37:EN43)</f>
        <v>-8698990.8321388699</v>
      </c>
      <c r="EO36" s="49"/>
      <c r="EP36" s="166">
        <f>SUM(EP37:EP43)</f>
        <v>-3650620.55</v>
      </c>
      <c r="EQ36" s="49"/>
      <c r="ER36" s="49">
        <f>SUM(ER37:ER43)</f>
        <v>-5079938.242989949</v>
      </c>
      <c r="ES36" s="49"/>
      <c r="ET36" s="49">
        <f>SUM(ET37:ET43)</f>
        <v>809528.45033531252</v>
      </c>
      <c r="EU36" s="49"/>
      <c r="EV36" s="49">
        <f>SUM(EL36:ET36)</f>
        <v>-62480860.801093467</v>
      </c>
      <c r="EY36" s="48" t="s">
        <v>149</v>
      </c>
      <c r="EZ36" s="49">
        <f>SUM(EZ37:EZ43)</f>
        <v>-106430740.48580146</v>
      </c>
      <c r="FA36" s="50"/>
      <c r="FB36" s="49">
        <f>SUM(FB37:FB43)</f>
        <v>-7195671.2664099531</v>
      </c>
      <c r="FC36" s="49"/>
      <c r="FD36" s="166">
        <f>SUM(FD37:FD43)</f>
        <v>-2028903.9700000002</v>
      </c>
      <c r="FE36" s="49"/>
      <c r="FF36" s="49">
        <f>SUM(FF37:FF43)</f>
        <v>-4227606.7664998602</v>
      </c>
      <c r="FG36" s="49"/>
      <c r="FH36" s="49">
        <f>SUM(FH37:FH43)</f>
        <v>696704.75016468728</v>
      </c>
      <c r="FI36" s="49"/>
      <c r="FJ36" s="49">
        <f>SUM(EZ36:FH36)</f>
        <v>-119186217.73854658</v>
      </c>
      <c r="FM36" s="48" t="s">
        <v>149</v>
      </c>
      <c r="FN36" s="49">
        <f>SUM(FN37:FN43)</f>
        <v>-39062737.139617383</v>
      </c>
      <c r="FO36" s="50"/>
      <c r="FP36" s="49">
        <f>SUM(FP37:FP43)</f>
        <v>-6232044.0847195145</v>
      </c>
      <c r="FQ36" s="49"/>
      <c r="FR36" s="166">
        <f>SUM(FR37:FR43)</f>
        <v>-4141373.419999999</v>
      </c>
      <c r="FS36" s="49"/>
      <c r="FT36" s="49">
        <f>SUM(FT37:FT43)</f>
        <v>-4162286.7917345632</v>
      </c>
      <c r="FU36" s="49"/>
      <c r="FV36" s="49">
        <f>SUM(FV37:FV43)</f>
        <v>1136113.3807545477</v>
      </c>
      <c r="FW36" s="49"/>
      <c r="FX36" s="49">
        <f>SUM(FN36:FV36)</f>
        <v>-52462328.055316918</v>
      </c>
      <c r="GA36" s="48" t="s">
        <v>149</v>
      </c>
      <c r="GB36" s="49">
        <f>SUM(GB37:GB43)</f>
        <v>-23345953.510259666</v>
      </c>
      <c r="GC36" s="50"/>
      <c r="GD36" s="49">
        <f>SUM(GD37:GD43)</f>
        <v>-6482430.8084999993</v>
      </c>
      <c r="GE36" s="49"/>
      <c r="GF36" s="166">
        <f>SUM(GF37:GF43)</f>
        <v>-1828636.8100000005</v>
      </c>
      <c r="GG36" s="49"/>
      <c r="GH36" s="49">
        <f>SUM(GH37:GH43)</f>
        <v>-3995395.7052220898</v>
      </c>
      <c r="GI36" s="49"/>
      <c r="GJ36" s="49">
        <f>SUM(GJ37:GJ43)</f>
        <v>2075311.5735299867</v>
      </c>
      <c r="GK36" s="49"/>
      <c r="GL36" s="49">
        <f>SUM(GB36:GJ36)</f>
        <v>-33577105.260451771</v>
      </c>
      <c r="GO36" s="48" t="s">
        <v>149</v>
      </c>
      <c r="GP36" s="49">
        <f>SUM(GP37:GP43)</f>
        <v>-25050078.367927503</v>
      </c>
      <c r="GQ36" s="50"/>
      <c r="GR36" s="49">
        <f>SUM(GR37:GR43)</f>
        <v>-7227149.2814999996</v>
      </c>
      <c r="GS36" s="49"/>
      <c r="GT36" s="166">
        <f>SUM(GT37:GT43)</f>
        <v>-1688579.7599999993</v>
      </c>
      <c r="GU36" s="49"/>
      <c r="GV36" s="49">
        <f>SUM(GV37:GV43)</f>
        <v>2577430.2233071369</v>
      </c>
      <c r="GW36" s="49"/>
      <c r="GX36" s="49">
        <f>SUM(GX37:GX43)</f>
        <v>1500855.1056007105</v>
      </c>
      <c r="GY36" s="49"/>
      <c r="GZ36" s="49">
        <f>SUM(GP36:GX36)</f>
        <v>-29887522.080519654</v>
      </c>
      <c r="HC36" s="48" t="s">
        <v>149</v>
      </c>
      <c r="HD36" s="49">
        <f>SUM(HD37:HD43)</f>
        <v>-24257191.229999993</v>
      </c>
      <c r="HE36" s="50"/>
      <c r="HF36" s="49">
        <f>SUM(HF37:HF43)</f>
        <v>-5870340.9900000002</v>
      </c>
      <c r="HG36" s="49"/>
      <c r="HH36" s="166">
        <f>SUM(HH37:HH43)</f>
        <v>-1679254.61</v>
      </c>
      <c r="HI36" s="49"/>
      <c r="HJ36" s="49">
        <f>SUM(HJ37:HJ43)</f>
        <v>-2077435.7405000001</v>
      </c>
      <c r="HK36" s="49"/>
      <c r="HL36" s="49">
        <f>SUM(HL37:HL43)</f>
        <v>568135.17311476835</v>
      </c>
      <c r="HM36" s="49"/>
      <c r="HN36" s="49">
        <f>SUM(HD36:HL36)</f>
        <v>-33316087.397385225</v>
      </c>
      <c r="HQ36" s="48" t="s">
        <v>149</v>
      </c>
      <c r="HR36" s="49">
        <f>SUM(HR37:HR43)</f>
        <v>-38324312.379999995</v>
      </c>
      <c r="HS36" s="50"/>
      <c r="HT36" s="49">
        <f>SUM(HT37:HT43)</f>
        <v>-6073967.3199999975</v>
      </c>
      <c r="HU36" s="49"/>
      <c r="HV36" s="166">
        <f>SUM(HV37:HV43)</f>
        <v>-1089000.7400000007</v>
      </c>
      <c r="HW36" s="49"/>
      <c r="HX36" s="49">
        <f>SUM(HX37:HX43)</f>
        <v>-2323554.7004999998</v>
      </c>
      <c r="HY36" s="49"/>
      <c r="HZ36" s="49">
        <f>SUM(HZ37:HZ43)</f>
        <v>565499.14756090974</v>
      </c>
      <c r="IA36" s="49"/>
      <c r="IB36" s="49">
        <f>SUM(HR36:HZ36)</f>
        <v>-47245335.992939085</v>
      </c>
      <c r="IE36" s="48" t="s">
        <v>149</v>
      </c>
      <c r="IF36" s="49">
        <f>SUM(IF37:IF43)</f>
        <v>-7661522.5599999987</v>
      </c>
      <c r="IG36" s="50"/>
      <c r="IH36" s="49">
        <f>SUM(IH37:IH43)</f>
        <v>-5861195.6800000006</v>
      </c>
      <c r="II36" s="49"/>
      <c r="IJ36" s="166">
        <f>SUM(IJ37:IJ43)</f>
        <v>-1929982.67</v>
      </c>
      <c r="IK36" s="49"/>
      <c r="IL36" s="49">
        <f>SUM(IL37:IL43)</f>
        <v>-1352160.2804999996</v>
      </c>
      <c r="IM36" s="49"/>
      <c r="IN36" s="49">
        <f>SUM(IN37:IN43)</f>
        <v>565085.72829402576</v>
      </c>
      <c r="IO36" s="49"/>
      <c r="IP36" s="49">
        <f>SUM(IF36:IN36)</f>
        <v>-16239775.462205973</v>
      </c>
      <c r="IS36" s="48" t="s">
        <v>149</v>
      </c>
      <c r="IT36" s="49">
        <f>SUM(IT37:IT43)</f>
        <v>-15384553.920000002</v>
      </c>
      <c r="IU36" s="50"/>
      <c r="IV36" s="49">
        <f>SUM(IV37:IV43)</f>
        <v>-5970203.1800000016</v>
      </c>
      <c r="IW36" s="49"/>
      <c r="IX36" s="166">
        <f>SUM(IX37:IX43)</f>
        <v>-1142923.5399999998</v>
      </c>
      <c r="IY36" s="49"/>
      <c r="IZ36" s="49">
        <f>SUM(IZ37:IZ43)</f>
        <v>-2216054.9605</v>
      </c>
      <c r="JA36" s="49"/>
      <c r="JB36" s="49">
        <f>SUM(JB37:JB43)</f>
        <v>510681.01555853186</v>
      </c>
      <c r="JC36" s="49"/>
      <c r="JD36" s="49">
        <f>SUM(IT36:JB36)</f>
        <v>-24203054.584941469</v>
      </c>
      <c r="JG36" s="48" t="s">
        <v>149</v>
      </c>
      <c r="JH36" s="49">
        <f>SUM(JH37:JH43)</f>
        <v>-22165179.329999998</v>
      </c>
      <c r="JI36" s="50"/>
      <c r="JJ36" s="49">
        <f>SUM(JJ37:JJ43)</f>
        <v>-5455862.3399999999</v>
      </c>
      <c r="JK36" s="49"/>
      <c r="JL36" s="166">
        <f>SUM(JL37:JL43)</f>
        <v>-986335.2300000001</v>
      </c>
      <c r="JM36" s="49"/>
      <c r="JN36" s="49">
        <f>SUM(JN37:JN43)</f>
        <v>-1951773.7105</v>
      </c>
      <c r="JO36" s="49"/>
      <c r="JP36" s="49">
        <f>SUM(JP37:JP43)</f>
        <v>807044.30858654773</v>
      </c>
      <c r="JQ36" s="49"/>
      <c r="JR36" s="49">
        <f>SUM(JH36:JP36)</f>
        <v>-29752106.301913451</v>
      </c>
      <c r="JU36" s="48" t="s">
        <v>149</v>
      </c>
      <c r="JV36" s="49">
        <f>SUM(JV37:JV43)</f>
        <v>-16445068.290000005</v>
      </c>
      <c r="JW36" s="50"/>
      <c r="JX36" s="49">
        <f>SUM(JX37:JX43)</f>
        <v>-5500808.0499999989</v>
      </c>
      <c r="JY36" s="49"/>
      <c r="JZ36" s="166">
        <f>SUM(JZ37:JZ43)</f>
        <v>-916361.28999999922</v>
      </c>
      <c r="KA36" s="49"/>
      <c r="KB36" s="49">
        <f>SUM(KB37:KB43)</f>
        <v>-2264399.1504999995</v>
      </c>
      <c r="KC36" s="49"/>
      <c r="KD36" s="49">
        <f>SUM(KD37:KD43)</f>
        <v>457841.80847752036</v>
      </c>
      <c r="KE36" s="49"/>
      <c r="KF36" s="49">
        <f>SUM(JV36:KD36)</f>
        <v>-24668794.972022481</v>
      </c>
      <c r="KI36" s="48" t="s">
        <v>149</v>
      </c>
      <c r="KJ36" s="49">
        <f>SUM(KJ37:KJ43)</f>
        <v>-13674760.439999998</v>
      </c>
      <c r="KK36" s="50"/>
      <c r="KL36" s="49">
        <f>SUM(KL37:KL43)</f>
        <v>-4767555.3299999991</v>
      </c>
      <c r="KM36" s="49"/>
      <c r="KN36" s="166">
        <f>SUM(KN37:KN43)</f>
        <v>-1103457.8500000001</v>
      </c>
      <c r="KO36" s="49"/>
      <c r="KP36" s="49">
        <f>SUM(KP37:KP43)</f>
        <v>-2040124.0005000001</v>
      </c>
      <c r="KQ36" s="49"/>
      <c r="KR36" s="49">
        <f>SUM(KR37:KR43)</f>
        <v>799792.91776195017</v>
      </c>
      <c r="KS36" s="49"/>
      <c r="KT36" s="49">
        <f>SUM(KJ36:KR36)</f>
        <v>-20786104.702738047</v>
      </c>
      <c r="KW36" s="48" t="s">
        <v>149</v>
      </c>
      <c r="KX36" s="49">
        <f>SUM(KX37:KX43)</f>
        <v>-24587694.209999997</v>
      </c>
      <c r="KY36" s="50"/>
      <c r="KZ36" s="49">
        <f>SUM(KZ37:KZ43)</f>
        <v>-6610216.1599999983</v>
      </c>
      <c r="LA36" s="49"/>
      <c r="LB36" s="157">
        <f>SUM(LB37:LB43)</f>
        <v>-1140998.3900000001</v>
      </c>
      <c r="LC36" s="49"/>
      <c r="LD36" s="49">
        <f>SUM(LD37:LD43)</f>
        <v>-2057064.0205000003</v>
      </c>
      <c r="LE36" s="49"/>
      <c r="LF36" s="49">
        <f>SUM(LF37:LF43)</f>
        <v>800785.28565494716</v>
      </c>
      <c r="LG36" s="49"/>
      <c r="LH36" s="49">
        <f>SUM(KX36:LF36)</f>
        <v>-33595187.494845048</v>
      </c>
      <c r="LJ36" s="48" t="s">
        <v>149</v>
      </c>
      <c r="LK36" s="49">
        <f>SUM(LK37:LK43)</f>
        <v>-25323714.989999998</v>
      </c>
      <c r="LL36" s="50"/>
      <c r="LM36" s="49">
        <f>SUM(LM37:LM43)</f>
        <v>-6397705.3600000003</v>
      </c>
      <c r="LN36" s="49"/>
      <c r="LO36" s="157">
        <f>SUM(LO37:LO43)</f>
        <v>-1210291.9100000001</v>
      </c>
      <c r="LP36" s="166"/>
      <c r="LQ36" s="49">
        <f>SUM(LQ37:LQ43)</f>
        <v>-2173657.7505000001</v>
      </c>
      <c r="LR36" s="49"/>
      <c r="LS36" s="49">
        <f>SUM(LS37:LS43)</f>
        <v>800682.19425998745</v>
      </c>
      <c r="LT36" s="49"/>
      <c r="LU36" s="49">
        <f>SUM(LK36:LS36)</f>
        <v>-34304687.816240013</v>
      </c>
      <c r="LV36" s="49"/>
      <c r="LW36" s="48" t="s">
        <v>149</v>
      </c>
      <c r="LX36" s="49">
        <f>SUM(LX37:LX43)</f>
        <v>-24420724.429999996</v>
      </c>
      <c r="LY36" s="50"/>
      <c r="LZ36" s="49">
        <f>SUM(LZ37:LZ43)</f>
        <v>-4617073.0699999984</v>
      </c>
      <c r="MA36" s="49"/>
      <c r="MB36" s="166">
        <f>SUM(MB37:MB43)</f>
        <v>-1324205.5999999992</v>
      </c>
      <c r="MC36" s="49"/>
      <c r="MD36" s="49">
        <f>SUM(MD37:MD43)</f>
        <v>-3504183.3405000018</v>
      </c>
      <c r="ME36" s="49"/>
      <c r="MF36" s="49">
        <f>SUM(MF37:MF43)</f>
        <v>807358.78500000015</v>
      </c>
      <c r="MG36" s="49"/>
      <c r="MH36" s="49">
        <f>SUM(LX36:MF36)</f>
        <v>-33058827.655499991</v>
      </c>
      <c r="MK36" s="48" t="s">
        <v>149</v>
      </c>
      <c r="ML36" s="49">
        <f>SUM(ML37:ML43)</f>
        <v>-8790399.8899999987</v>
      </c>
      <c r="MM36" s="50"/>
      <c r="MN36" s="49">
        <f>SUM(MN37:MN43)</f>
        <v>-5015895.4800000023</v>
      </c>
      <c r="MO36" s="49"/>
      <c r="MP36" s="166">
        <f>SUM(MP37:MP43)</f>
        <v>-987257.30000000028</v>
      </c>
      <c r="MQ36" s="49"/>
      <c r="MR36" s="49">
        <f>SUM(MR37:MR43)</f>
        <v>-2328545.9558929196</v>
      </c>
      <c r="MS36" s="49"/>
      <c r="MT36" s="49">
        <f>SUM(MT37:MT43)</f>
        <v>832814.10499999998</v>
      </c>
      <c r="MU36" s="49"/>
      <c r="MV36" s="49">
        <f>SUM(ML36:MT36)</f>
        <v>-16289284.520892922</v>
      </c>
      <c r="MY36" s="48" t="s">
        <v>149</v>
      </c>
      <c r="MZ36" s="49">
        <f>SUM(MZ37:MZ43)</f>
        <v>-10918081.450000001</v>
      </c>
      <c r="NA36" s="50"/>
      <c r="NB36" s="49">
        <f>SUM(NB37:NB43)</f>
        <v>-3582312.6199999992</v>
      </c>
      <c r="NC36" s="49"/>
      <c r="ND36" s="157">
        <f>SUM(ND37:ND43)</f>
        <v>-513801.69999999972</v>
      </c>
      <c r="NE36" s="49"/>
      <c r="NF36" s="49">
        <f>SUM(NF37:NF43)</f>
        <v>-2908953.2304999996</v>
      </c>
      <c r="NG36" s="49"/>
      <c r="NH36" s="49">
        <f>SUM(NH37:NH43)</f>
        <v>710718.53500000061</v>
      </c>
      <c r="NI36" s="49"/>
      <c r="NJ36" s="49">
        <f>SUM(MZ36:NH36)</f>
        <v>-17212430.465500001</v>
      </c>
      <c r="NL36" s="48" t="s">
        <v>149</v>
      </c>
      <c r="NM36" s="49">
        <f>SUM(NM37:NM43)</f>
        <v>-48948377.650000006</v>
      </c>
      <c r="NN36" s="50"/>
      <c r="NO36" s="49">
        <f>SUM(NO37:NO43)</f>
        <v>-4536658.33</v>
      </c>
      <c r="NP36" s="49"/>
      <c r="NQ36" s="157">
        <f>SUM(NQ37:NQ43)</f>
        <v>-684638.23</v>
      </c>
      <c r="NR36" s="166"/>
      <c r="NS36" s="49">
        <f>SUM(NS37:NS43)</f>
        <v>-2162666.6251070802</v>
      </c>
      <c r="NT36" s="49"/>
      <c r="NU36" s="49">
        <f>SUM(NU37:NU43)</f>
        <v>821344.93499999959</v>
      </c>
      <c r="NV36" s="49"/>
      <c r="NW36" s="49">
        <f>SUM(NM36:NU36)</f>
        <v>-55510995.900107078</v>
      </c>
      <c r="NY36" s="48" t="s">
        <v>149</v>
      </c>
      <c r="NZ36" s="144">
        <f>SUM(NZ37:NZ43)</f>
        <v>-16049371.900000006</v>
      </c>
      <c r="OA36" s="145"/>
      <c r="OB36" s="144">
        <f>SUM(OB37:OB43)</f>
        <v>-3940167.240000003</v>
      </c>
      <c r="OC36" s="144"/>
      <c r="OD36" s="161">
        <f>SUM(OD37:OD43)</f>
        <v>-956871.00000000012</v>
      </c>
      <c r="OE36" s="144"/>
      <c r="OF36" s="144">
        <f>SUM(OF37:OF43)</f>
        <v>-3273980.7405000036</v>
      </c>
      <c r="OG36" s="144"/>
      <c r="OH36" s="144">
        <f>SUM(OH37:OH43)</f>
        <v>-234167.69254165489</v>
      </c>
      <c r="OI36" s="144"/>
      <c r="OJ36" s="144">
        <f t="shared" ref="OJ36:OJ43" si="134">SUM(NZ36:OH36)</f>
        <v>-24454558.573041666</v>
      </c>
      <c r="OL36" s="48" t="s">
        <v>149</v>
      </c>
      <c r="OM36" s="49">
        <f>SUM(OM37:OM43)</f>
        <v>-5675751.5599999949</v>
      </c>
      <c r="ON36" s="50"/>
      <c r="OO36" s="49">
        <f>SUM(OO37:OO43)</f>
        <v>-4817511.8599999975</v>
      </c>
      <c r="OP36" s="49"/>
      <c r="OQ36" s="131">
        <f>SUM(OQ37:OQ43)</f>
        <v>0</v>
      </c>
      <c r="OR36" s="49">
        <f>SUM(OR37:OR43)</f>
        <v>0</v>
      </c>
      <c r="OS36" s="49">
        <f>SUM(OS37:OS43)</f>
        <v>771059.48060000176</v>
      </c>
      <c r="OT36" s="49"/>
      <c r="OU36" s="49">
        <f>SUM(OU37:OU43)</f>
        <v>1238490.5218750006</v>
      </c>
      <c r="OV36" s="49"/>
      <c r="OW36" s="49">
        <f t="shared" ref="OW36:OW43" si="135">SUM(OM36:OU36)</f>
        <v>-8483713.4175249897</v>
      </c>
      <c r="OY36" s="48" t="s">
        <v>149</v>
      </c>
      <c r="OZ36" s="49">
        <f>SUM(OZ37:OZ43)</f>
        <v>-3782547.8800000064</v>
      </c>
      <c r="PA36" s="50"/>
      <c r="PB36" s="49">
        <f>SUM(PB37:PB43)</f>
        <v>-3755834.2599999993</v>
      </c>
      <c r="PC36" s="49"/>
      <c r="PD36" s="131">
        <f>SUM(PD37:PD43)</f>
        <v>0</v>
      </c>
      <c r="PE36" s="49">
        <f>SUM(PE37:PE43)</f>
        <v>0</v>
      </c>
      <c r="PF36" s="49">
        <f>SUM(PF37:PF43)</f>
        <v>5580652.0896666655</v>
      </c>
      <c r="PG36" s="49"/>
      <c r="PH36" s="49">
        <f>SUM(PH37:PH43)</f>
        <v>1005098.8526249977</v>
      </c>
      <c r="PI36" s="49"/>
      <c r="PJ36" s="49">
        <f>SUM(OZ36:PH36)</f>
        <v>-952631.19770834292</v>
      </c>
      <c r="PL36" s="48" t="s">
        <v>149</v>
      </c>
      <c r="PM36" s="49">
        <f>SUM(PM37:PM43)</f>
        <v>-24844791.679999996</v>
      </c>
      <c r="PN36" s="50"/>
      <c r="PO36" s="49">
        <f>SUM(PO37:PO43)</f>
        <v>-4212982.7299999995</v>
      </c>
      <c r="PP36" s="49"/>
      <c r="PQ36" s="131">
        <f>SUM(PQ37:PQ43)</f>
        <v>0</v>
      </c>
      <c r="PR36" s="49">
        <f>SUM(PR37:PR43)</f>
        <v>0</v>
      </c>
      <c r="PS36" s="49">
        <f>SUM(PS37:PS43)</f>
        <v>-2019162.0999999992</v>
      </c>
      <c r="PT36" s="49"/>
      <c r="PU36" s="49">
        <f>SUM(PU37:PU43)</f>
        <v>1089873.5141250012</v>
      </c>
      <c r="PV36" s="49"/>
      <c r="PW36" s="49">
        <f t="shared" ref="PW36:PW43" si="136">SUM(PM36:PU36)</f>
        <v>-29987062.995874994</v>
      </c>
      <c r="PY36" s="48" t="s">
        <v>149</v>
      </c>
      <c r="PZ36" s="49">
        <f>SUM(PZ37:PZ43)</f>
        <v>-5589271.8099999996</v>
      </c>
      <c r="QA36" s="50"/>
      <c r="QB36" s="49">
        <f>SUM(QB37:QB43)</f>
        <v>-3781204.8200000008</v>
      </c>
      <c r="QC36" s="49"/>
      <c r="QD36" s="49">
        <f>SUM(QD37:QD43)</f>
        <v>-1022451.1999999997</v>
      </c>
      <c r="QE36" s="49"/>
      <c r="QF36" s="49">
        <f>SUM(QF37:QF43)</f>
        <v>-1496865.52</v>
      </c>
      <c r="QG36" s="49"/>
      <c r="QH36" s="49">
        <f>SUM(QH37:QH43)</f>
        <v>1029185.7060833334</v>
      </c>
      <c r="QI36" s="49"/>
      <c r="QJ36" s="49">
        <f t="shared" ref="QJ36:QJ43" si="137">SUM(PZ36:QH36)</f>
        <v>-10860607.643916667</v>
      </c>
      <c r="QL36" s="48" t="s">
        <v>149</v>
      </c>
      <c r="QM36" s="49">
        <f>SUM(QM37:QM43)</f>
        <v>-4201536.62</v>
      </c>
      <c r="QN36" s="50"/>
      <c r="QO36" s="49">
        <f>SUM(QO37:QO43)</f>
        <v>-4559621.0099999988</v>
      </c>
      <c r="QP36" s="49"/>
      <c r="QQ36" s="49">
        <f>SUM(QQ37:QQ43)</f>
        <v>-936238.14999999991</v>
      </c>
      <c r="QR36" s="49">
        <f>SUM(QR37:QR43)</f>
        <v>0</v>
      </c>
      <c r="QS36" s="49">
        <f>SUM(QS37:QS43)</f>
        <v>-1788515.13</v>
      </c>
      <c r="QT36" s="49"/>
      <c r="QU36" s="49">
        <f>SUM(QU37:QU43)</f>
        <v>2352814.2000000007</v>
      </c>
      <c r="QV36" s="49"/>
      <c r="QW36" s="49">
        <f t="shared" ref="QW36:QW43" si="138">SUM(QM36:QU36)</f>
        <v>-9133096.709999999</v>
      </c>
      <c r="QY36" s="48" t="s">
        <v>149</v>
      </c>
      <c r="QZ36" s="49">
        <f>SUM(QZ37:QZ43)</f>
        <v>-3436179.06</v>
      </c>
      <c r="RA36" s="50"/>
      <c r="RB36" s="49">
        <f>SUM(RB37:RB43)</f>
        <v>-2564919.2400000002</v>
      </c>
      <c r="RC36" s="49"/>
      <c r="RD36" s="49">
        <f>SUM(RD37:RD43)</f>
        <v>-922635.34</v>
      </c>
      <c r="RE36" s="49">
        <f>SUM(RE37:RE43)</f>
        <v>0</v>
      </c>
      <c r="RF36" s="49">
        <f>SUM(RF37:RF43)</f>
        <v>-1389476.6999999997</v>
      </c>
      <c r="RG36" s="49"/>
      <c r="RH36" s="49">
        <f>SUM(RH37:RH43)</f>
        <v>793820.73999999918</v>
      </c>
      <c r="RI36" s="49"/>
      <c r="RJ36" s="49">
        <f t="shared" ref="RJ36:RJ43" si="139">SUM(QZ36:RH36)</f>
        <v>-7519389.6000000006</v>
      </c>
      <c r="RL36" s="48" t="s">
        <v>149</v>
      </c>
      <c r="RM36" s="49">
        <f>SUM(RM37:RM43)</f>
        <v>-8571381.1599999983</v>
      </c>
      <c r="RN36" s="50"/>
      <c r="RO36" s="49">
        <f>SUM(RO37:RO43)</f>
        <v>-6044308.7799999984</v>
      </c>
      <c r="RP36" s="49"/>
      <c r="RQ36" s="49">
        <f>SUM(RQ37:RQ43)</f>
        <v>-1054181.6399999999</v>
      </c>
      <c r="RR36" s="49">
        <f>SUM(RR37:RR43)</f>
        <v>0</v>
      </c>
      <c r="RS36" s="49">
        <f>SUM(RS37:RS43)</f>
        <v>-1032609.8599999999</v>
      </c>
      <c r="RT36" s="49"/>
      <c r="RU36" s="49">
        <f>SUM(RU37:RU43)</f>
        <v>3628087.3499999982</v>
      </c>
      <c r="RV36" s="49"/>
      <c r="RW36" s="49">
        <f t="shared" ref="RW36:RW43" si="140">SUM(RM36:RU36)</f>
        <v>-13074394.09</v>
      </c>
      <c r="RY36" s="48" t="s">
        <v>149</v>
      </c>
      <c r="RZ36" s="49">
        <f>SUM(RZ37:RZ43)</f>
        <v>-9336151.4899999984</v>
      </c>
      <c r="SA36" s="50"/>
      <c r="SB36" s="49">
        <f>SUM(SB37:SB43)</f>
        <v>-2838530.939999999</v>
      </c>
      <c r="SC36" s="49"/>
      <c r="SD36" s="49">
        <f>SUM(SD37:SD43)</f>
        <v>-908561.2300000001</v>
      </c>
      <c r="SE36" s="49">
        <f>SUM(SE37:SE43)</f>
        <v>0</v>
      </c>
      <c r="SF36" s="49">
        <f>SUM(SF37:SF43)</f>
        <v>-1908718.35</v>
      </c>
      <c r="SG36" s="49"/>
      <c r="SH36" s="49">
        <f>SUM(SH37:SH43)</f>
        <v>889189.99000000034</v>
      </c>
      <c r="SI36" s="49"/>
      <c r="SJ36" s="49">
        <f t="shared" ref="SJ36:SJ43" si="141">SUM(RZ36:SH36)</f>
        <v>-14102772.019999998</v>
      </c>
      <c r="SL36" s="48" t="s">
        <v>149</v>
      </c>
      <c r="SM36" s="49">
        <f>SUM(SM37:SM43)</f>
        <v>-8011399.3500000006</v>
      </c>
      <c r="SN36" s="50"/>
      <c r="SO36" s="49">
        <f>SUM(SO37:SO43)</f>
        <v>-3146233.3600000003</v>
      </c>
      <c r="SP36" s="49"/>
      <c r="SQ36" s="49">
        <f>SUM(SQ37:SQ43)</f>
        <v>-929205.17999999993</v>
      </c>
      <c r="SR36" s="49">
        <f>SUM(SR37:SR43)</f>
        <v>0</v>
      </c>
      <c r="SS36" s="49">
        <f>SUM(SS37:SS43)</f>
        <v>-1718253.9400000002</v>
      </c>
      <c r="ST36" s="49"/>
      <c r="SU36" s="49">
        <f>SUM(SU37:SU43)</f>
        <v>1532332.1</v>
      </c>
      <c r="SV36" s="49"/>
      <c r="SW36" s="49">
        <f t="shared" ref="SW36:SW43" si="142">SUM(SM36:SU36)</f>
        <v>-12272759.73</v>
      </c>
      <c r="SY36" s="48" t="s">
        <v>149</v>
      </c>
      <c r="SZ36" s="49">
        <f>SUM(SZ37:SZ43)</f>
        <v>-3833105.3600000003</v>
      </c>
      <c r="TA36" s="50"/>
      <c r="TB36" s="49">
        <f>SUM(TB37:TB43)</f>
        <v>-2331676.35</v>
      </c>
      <c r="TC36" s="49"/>
      <c r="TD36" s="49">
        <f>SUM(TD37:TD43)</f>
        <v>-1004460.6900000001</v>
      </c>
      <c r="TE36" s="49">
        <f>SUM(TE37:TE43)</f>
        <v>0</v>
      </c>
      <c r="TF36" s="49">
        <f>SUM(TF37:TF43)</f>
        <v>-1577570.4999999998</v>
      </c>
      <c r="TG36" s="49"/>
      <c r="TH36" s="49">
        <f>SUM(TH37:TH43)</f>
        <v>891678.28999999992</v>
      </c>
      <c r="TI36" s="49"/>
      <c r="TJ36" s="49">
        <f t="shared" ref="TJ36:TJ43" si="143">SUM(SZ36:TH36)</f>
        <v>-7855134.6100000003</v>
      </c>
      <c r="TL36" s="48" t="s">
        <v>149</v>
      </c>
      <c r="TM36" s="49">
        <f>SUM(TM37:TM43)</f>
        <v>-19842615.090000007</v>
      </c>
      <c r="TN36" s="50"/>
      <c r="TO36" s="49">
        <f>SUM(TO37:TO43)</f>
        <v>-4139890.3000000012</v>
      </c>
      <c r="TP36" s="49"/>
      <c r="TQ36" s="49">
        <f>SUM(TQ37:TQ43)</f>
        <v>-1271197.5799999991</v>
      </c>
      <c r="TR36" s="49">
        <f>SUM(TR37:TR43)</f>
        <v>0</v>
      </c>
      <c r="TS36" s="49">
        <f>SUM(TS37:TS43)</f>
        <v>-1941441.5599999945</v>
      </c>
      <c r="TT36" s="49"/>
      <c r="TU36" s="49">
        <f>SUM(TU37:TU43)</f>
        <v>2267987.5700000017</v>
      </c>
      <c r="TV36" s="49"/>
      <c r="TW36" s="49">
        <f t="shared" ref="TW36:TW43" si="144">SUM(TM36:TU36)</f>
        <v>-24927156.960000001</v>
      </c>
      <c r="TY36" s="48" t="s">
        <v>149</v>
      </c>
      <c r="TZ36" s="49">
        <f>SUM(TZ37:TZ43)</f>
        <v>-34090759.149999999</v>
      </c>
      <c r="UA36" s="50"/>
      <c r="UB36" s="49">
        <f>SUM(UB37:UB43)</f>
        <v>-2630610.0900000003</v>
      </c>
      <c r="UC36" s="49"/>
      <c r="UD36" s="49">
        <f>SUM(UD37:UD43)</f>
        <v>-1400749.0100000002</v>
      </c>
      <c r="UE36" s="49">
        <f>SUM(UE37:UE43)</f>
        <v>0</v>
      </c>
      <c r="UF36" s="49">
        <f>SUM(UF37:UF43)</f>
        <v>-2329991.259999997</v>
      </c>
      <c r="UG36" s="49"/>
      <c r="UH36" s="49">
        <f>SUM(UH37:UH43)</f>
        <v>1702362.8000000038</v>
      </c>
      <c r="UI36" s="49"/>
      <c r="UJ36" s="49">
        <f t="shared" ref="UJ36:UJ43" si="145">SUM(TZ36:UH36)</f>
        <v>-38749746.709999993</v>
      </c>
      <c r="UL36" s="48" t="s">
        <v>149</v>
      </c>
      <c r="UM36" s="49">
        <f>SUM(UM37:UM43)</f>
        <v>-4574021.96</v>
      </c>
      <c r="UN36" s="50"/>
      <c r="UO36" s="49">
        <f>SUM(UO37:UO43)</f>
        <v>-2876303.44</v>
      </c>
      <c r="UP36" s="49"/>
      <c r="UQ36" s="49">
        <f>SUM(UQ37:UQ43)</f>
        <v>-949093.46000000008</v>
      </c>
      <c r="UR36" s="49">
        <f>SUM(UR37:UR43)</f>
        <v>0</v>
      </c>
      <c r="US36" s="49">
        <f>SUM(US37:US43)</f>
        <v>-2429892.6100000003</v>
      </c>
      <c r="UT36" s="49"/>
      <c r="UU36" s="49">
        <f>SUM(UU37:UU43)</f>
        <v>1229347.5899999996</v>
      </c>
      <c r="UV36" s="49"/>
      <c r="UW36" s="49">
        <f t="shared" ref="UW36:UW43" si="146">SUM(UM36:UU36)</f>
        <v>-9599963.8800000027</v>
      </c>
      <c r="UY36" s="48" t="s">
        <v>149</v>
      </c>
      <c r="UZ36" s="49">
        <f>SUM(UZ37:UZ43)</f>
        <v>-6024167.4399999995</v>
      </c>
      <c r="VA36" s="50"/>
      <c r="VB36" s="49">
        <f>SUM(VB37:VB43)</f>
        <v>-2809196.77</v>
      </c>
      <c r="VC36" s="49"/>
      <c r="VD36" s="49">
        <f>SUM(VD37:VD43)</f>
        <v>-914489.35</v>
      </c>
      <c r="VE36" s="49">
        <f>SUM(VE37:VE43)</f>
        <v>0</v>
      </c>
      <c r="VF36" s="49">
        <f>SUM(VF37:VF43)</f>
        <v>-2305001.6</v>
      </c>
      <c r="VG36" s="49"/>
      <c r="VH36" s="49">
        <f>SUM(VH37:VH43)</f>
        <v>1162081.6900000002</v>
      </c>
      <c r="VI36" s="49"/>
      <c r="VJ36" s="49">
        <f t="shared" ref="VJ36:VJ43" si="147">SUM(UZ36:VH36)</f>
        <v>-10890773.469999999</v>
      </c>
      <c r="VL36" s="48" t="s">
        <v>149</v>
      </c>
      <c r="VM36" s="49">
        <f>SUM(VM37:VM43)</f>
        <v>-21318650.280000001</v>
      </c>
      <c r="VN36" s="50"/>
      <c r="VO36" s="49">
        <f>SUM(VO37:VO43)</f>
        <v>-3002626.9579400667</v>
      </c>
      <c r="VP36" s="49"/>
      <c r="VQ36" s="49">
        <f>SUM(VQ37:VQ43)</f>
        <v>-1014594.3300000001</v>
      </c>
      <c r="VR36" s="49">
        <f>SUM(VR37:VR43)</f>
        <v>0</v>
      </c>
      <c r="VS36" s="49">
        <f>SUM(VS37:VS43)</f>
        <v>-3618000.2600000002</v>
      </c>
      <c r="VT36" s="49"/>
      <c r="VU36" s="49">
        <f>SUM(VU37:VU43)</f>
        <v>1120042.8900000029</v>
      </c>
      <c r="VV36" s="49"/>
      <c r="VW36" s="49">
        <f t="shared" ref="VW36:VW43" si="148">SUM(VM36:VU36)</f>
        <v>-27833828.937940069</v>
      </c>
      <c r="VY36" s="48" t="s">
        <v>149</v>
      </c>
      <c r="VZ36" s="49">
        <f>SUM(VZ37:VZ43)</f>
        <v>-14752048.042933788</v>
      </c>
      <c r="WA36" s="50"/>
      <c r="WB36" s="49">
        <f>SUM(WB37:WB43)</f>
        <v>-2876367.2020599335</v>
      </c>
      <c r="WC36" s="49"/>
      <c r="WD36" s="49">
        <f>SUM(WD37:WD43)</f>
        <v>-1154476.74</v>
      </c>
      <c r="WE36" s="49">
        <f>SUM(WE37:WE43)</f>
        <v>0</v>
      </c>
      <c r="WF36" s="49">
        <f>SUM(WF37:WF43)</f>
        <v>-1789142.31</v>
      </c>
      <c r="WG36" s="49"/>
      <c r="WH36" s="49">
        <f>SUM(WH37:WH43)</f>
        <v>1189502.6599999997</v>
      </c>
      <c r="WI36" s="49"/>
      <c r="WJ36" s="49">
        <f t="shared" ref="WJ36:WJ43" si="149">SUM(VZ36:WH36)</f>
        <v>-19382531.634993717</v>
      </c>
      <c r="WL36" s="48" t="s">
        <v>149</v>
      </c>
      <c r="WM36" s="49">
        <f>SUM(WM37:WM43)</f>
        <v>-11859360.36706621</v>
      </c>
      <c r="WN36" s="50"/>
      <c r="WO36" s="49">
        <f>SUM(WO37:WO43)</f>
        <v>-3395121.5</v>
      </c>
      <c r="WP36" s="49"/>
      <c r="WQ36" s="49">
        <f>SUM(WQ37:WQ43)</f>
        <v>-1033568.24</v>
      </c>
      <c r="WR36" s="49">
        <f>SUM(WR37:WR43)</f>
        <v>0</v>
      </c>
      <c r="WS36" s="49">
        <f>SUM(WS37:WS43)</f>
        <v>-2185380.0264668977</v>
      </c>
      <c r="WT36" s="49"/>
      <c r="WU36" s="49">
        <f>SUM(WU37:WU43)</f>
        <v>958999.24000000034</v>
      </c>
      <c r="WV36" s="49"/>
      <c r="WW36" s="49">
        <f t="shared" ref="WW36:WW43" si="150">SUM(WM36:WU36)</f>
        <v>-17514430.893533107</v>
      </c>
      <c r="WY36" s="48" t="s">
        <v>149</v>
      </c>
      <c r="WZ36" s="49">
        <f>SUM(WZ37:WZ43)</f>
        <v>-4286951.6000000006</v>
      </c>
      <c r="XA36" s="50"/>
      <c r="XB36" s="49">
        <f>SUM(XB37:XB43)</f>
        <v>-2939962.3499999996</v>
      </c>
      <c r="XC36" s="49"/>
      <c r="XD36" s="49">
        <f>SUM(XD37:XD43)</f>
        <v>-977273.02</v>
      </c>
      <c r="XE36" s="49">
        <f>SUM(XE37:XE43)</f>
        <v>0</v>
      </c>
      <c r="XF36" s="49">
        <f>SUM(XF37:XF43)</f>
        <v>-1943647.3135331031</v>
      </c>
      <c r="XG36" s="49"/>
      <c r="XH36" s="49">
        <f>SUM(XH37:XH43)</f>
        <v>1584854.75</v>
      </c>
      <c r="XI36" s="49"/>
      <c r="XJ36" s="49">
        <f t="shared" ref="XJ36:XJ43" si="151">SUM(WZ36:XH36)</f>
        <v>-8562979.5335331038</v>
      </c>
      <c r="XL36" s="48" t="s">
        <v>149</v>
      </c>
      <c r="XM36" s="49">
        <f>SUM(XM37:XM43)</f>
        <v>-18410321.879999999</v>
      </c>
      <c r="XN36" s="50"/>
      <c r="XO36" s="49">
        <f>SUM(XO37:XO43)</f>
        <v>-3005059.2799999975</v>
      </c>
      <c r="XP36" s="49"/>
      <c r="XQ36" s="49">
        <f>SUM(XQ37:XQ43)</f>
        <v>-1333569.1200000001</v>
      </c>
      <c r="XR36" s="49">
        <f>SUM(XR37:XR43)</f>
        <v>0</v>
      </c>
      <c r="XS36" s="49">
        <f>SUM(XS37:XS43)</f>
        <v>-2548071.1030174699</v>
      </c>
      <c r="XT36" s="49"/>
      <c r="XU36" s="49">
        <f>SUM(XU37:XU43)</f>
        <v>-270558.75349540357</v>
      </c>
      <c r="XV36" s="49"/>
      <c r="XW36" s="49">
        <f t="shared" ref="XW36:XW43" si="152">SUM(XM36:XU36)</f>
        <v>-25567580.136512868</v>
      </c>
      <c r="XY36" s="48"/>
      <c r="XZ36" s="49"/>
      <c r="YA36" s="50"/>
      <c r="YB36" s="49"/>
      <c r="YC36" s="49"/>
      <c r="YD36" s="49"/>
      <c r="YE36" s="49"/>
      <c r="YF36" s="49"/>
      <c r="YG36" s="49"/>
      <c r="YH36" s="49"/>
      <c r="YI36" s="49"/>
      <c r="YJ36" s="49"/>
    </row>
    <row r="37" spans="1:660">
      <c r="A37" s="59" t="s">
        <v>86</v>
      </c>
      <c r="B37" s="43"/>
      <c r="C37" s="43"/>
      <c r="F37" s="43"/>
      <c r="O37" s="59" t="s">
        <v>86</v>
      </c>
      <c r="P37" s="43"/>
      <c r="Q37" s="43"/>
      <c r="T37" s="43"/>
      <c r="AC37" s="59" t="s">
        <v>86</v>
      </c>
      <c r="AD37" s="43"/>
      <c r="AE37" s="43"/>
      <c r="AH37" s="43"/>
      <c r="AQ37" s="59" t="s">
        <v>86</v>
      </c>
      <c r="AR37" s="43">
        <f t="shared" ref="AR37" si="153">AR11</f>
        <v>-8529835.6392470002</v>
      </c>
      <c r="AS37" s="43"/>
      <c r="AT37" s="43">
        <f t="shared" ref="AT37" si="154">AT11</f>
        <v>-5623880.9762128126</v>
      </c>
      <c r="AV37" s="43">
        <f t="shared" ref="AV37:AV43" si="155">AV11</f>
        <v>0</v>
      </c>
      <c r="AX37" s="43">
        <f t="shared" ref="AX37:AX43" si="156">AX11</f>
        <v>-305794.76</v>
      </c>
      <c r="AZ37" s="43">
        <f t="shared" ref="AZ37:AZ43" si="157">AZ11</f>
        <v>894644.75</v>
      </c>
      <c r="BB37" s="43">
        <f>SUM(AR37:AZ37)</f>
        <v>-13564866.625459813</v>
      </c>
      <c r="BE37" s="59" t="s">
        <v>86</v>
      </c>
      <c r="BF37" s="43">
        <f>BF11-BT11</f>
        <v>-8105391.1178194433</v>
      </c>
      <c r="BG37" s="43"/>
      <c r="BH37" s="43">
        <f>BH11-BV11</f>
        <v>-5476623.2997422311</v>
      </c>
      <c r="BJ37" s="43">
        <f>BJ11-BX11</f>
        <v>0</v>
      </c>
      <c r="BL37" s="43">
        <f>BL11-BZ11</f>
        <v>-320078.62000000011</v>
      </c>
      <c r="BN37" s="43">
        <f>BN11-CB11</f>
        <v>891832.08491666708</v>
      </c>
      <c r="BP37" s="43">
        <f>SUM(BF37:BN37)</f>
        <v>-13010260.952645008</v>
      </c>
      <c r="BS37" s="59" t="s">
        <v>86</v>
      </c>
      <c r="BT37" s="43">
        <f t="shared" ref="BT37:CB43" si="158">BT11-CH11</f>
        <v>-7625548.127642557</v>
      </c>
      <c r="BU37" s="43"/>
      <c r="BV37" s="43">
        <f t="shared" si="158"/>
        <v>-5013172.0865295585</v>
      </c>
      <c r="BX37" s="43">
        <f t="shared" si="158"/>
        <v>0</v>
      </c>
      <c r="BZ37" s="43">
        <f t="shared" si="158"/>
        <v>-293263.8899999999</v>
      </c>
      <c r="CB37" s="43">
        <f t="shared" si="158"/>
        <v>849989.14000000013</v>
      </c>
      <c r="CD37" s="43">
        <f>SUM(BT37:CB37)</f>
        <v>-12081994.964172116</v>
      </c>
      <c r="CG37" s="59" t="s">
        <v>86</v>
      </c>
      <c r="CH37" s="43">
        <f t="shared" ref="CH37:CP43" si="159">CH11-CV11</f>
        <v>-7988351.9768419992</v>
      </c>
      <c r="CI37" s="43"/>
      <c r="CJ37" s="43">
        <f t="shared" si="159"/>
        <v>-5243483.1176196355</v>
      </c>
      <c r="CL37" s="43">
        <f t="shared" si="159"/>
        <v>0</v>
      </c>
      <c r="CN37" s="43">
        <f t="shared" si="159"/>
        <v>-310804.94000000006</v>
      </c>
      <c r="CP37" s="43">
        <f t="shared" si="159"/>
        <v>812178.87999999989</v>
      </c>
      <c r="CR37" s="43">
        <f>SUM(CH37:CP37)</f>
        <v>-12730461.154461633</v>
      </c>
      <c r="CU37" s="59" t="s">
        <v>86</v>
      </c>
      <c r="CV37" s="43">
        <f t="shared" ref="CV37:CX43" si="160">CV11</f>
        <v>-6642677.7900859993</v>
      </c>
      <c r="CW37" s="43"/>
      <c r="CX37" s="43">
        <f t="shared" si="160"/>
        <v>-4713120.5078931879</v>
      </c>
      <c r="CZ37" s="43">
        <f t="shared" ref="CZ37" si="161">CZ11</f>
        <v>0</v>
      </c>
      <c r="DB37" s="43">
        <f t="shared" ref="DB37" si="162">DB11</f>
        <v>-471033.61</v>
      </c>
      <c r="DD37" s="43">
        <f t="shared" ref="DD37" si="163">DD11</f>
        <v>786496.08000000007</v>
      </c>
      <c r="DF37" s="43">
        <f>SUM(CV37:DD37)</f>
        <v>-11040335.827979187</v>
      </c>
      <c r="DI37" s="59" t="s">
        <v>86</v>
      </c>
      <c r="DJ37" s="43">
        <f>DJ11-DX11</f>
        <v>-5653232.006533552</v>
      </c>
      <c r="DK37" s="43"/>
      <c r="DL37" s="43">
        <f>DL11-DZ11</f>
        <v>-4703404.1798211969</v>
      </c>
      <c r="DN37" s="43">
        <f>DN11-EB11</f>
        <v>0</v>
      </c>
      <c r="DP37" s="43">
        <f>DP11-ED11</f>
        <v>-350317.8899999999</v>
      </c>
      <c r="DR37" s="43">
        <f>DR11-EF11</f>
        <v>820109.85884091957</v>
      </c>
      <c r="DT37" s="43">
        <f>SUM(DJ37:DR37)</f>
        <v>-9886844.2175138295</v>
      </c>
      <c r="DW37" s="59" t="s">
        <v>86</v>
      </c>
      <c r="DX37" s="43">
        <f t="shared" ref="DX37:EF43" si="164">DX11-EL11</f>
        <v>-4995712.4238384441</v>
      </c>
      <c r="DY37" s="43"/>
      <c r="DZ37" s="43">
        <f t="shared" si="164"/>
        <v>-4513291.8969985656</v>
      </c>
      <c r="EB37" s="43">
        <f t="shared" si="164"/>
        <v>0</v>
      </c>
      <c r="ED37" s="43">
        <f t="shared" si="164"/>
        <v>-350270.11</v>
      </c>
      <c r="EF37" s="43">
        <f t="shared" si="164"/>
        <v>732540.06524999999</v>
      </c>
      <c r="EH37" s="43">
        <f>SUM(DX37:EF37)</f>
        <v>-9126734.3655870091</v>
      </c>
      <c r="EK37" s="59" t="s">
        <v>86</v>
      </c>
      <c r="EL37" s="43">
        <f t="shared" ref="EL37:ET43" si="165">EL11-EZ11</f>
        <v>-6128169.2934636679</v>
      </c>
      <c r="EM37" s="43"/>
      <c r="EN37" s="43">
        <f t="shared" si="165"/>
        <v>-4748154.1821388695</v>
      </c>
      <c r="EP37" s="43">
        <f t="shared" si="165"/>
        <v>0</v>
      </c>
      <c r="ER37" s="43">
        <f t="shared" si="165"/>
        <v>-349976.58999999997</v>
      </c>
      <c r="ET37" s="43">
        <f t="shared" si="165"/>
        <v>758668.80524999974</v>
      </c>
      <c r="EV37" s="43">
        <f>SUM(EL37:ET37)</f>
        <v>-10467631.260352537</v>
      </c>
      <c r="EY37" s="59" t="s">
        <v>86</v>
      </c>
      <c r="EZ37" s="43">
        <f t="shared" ref="EZ37:FB37" si="166">EZ11</f>
        <v>-3937027.4353866666</v>
      </c>
      <c r="FA37" s="43"/>
      <c r="FB37" s="43">
        <f t="shared" si="166"/>
        <v>-4617529.6964099538</v>
      </c>
      <c r="FD37" s="43">
        <f t="shared" ref="FD37" si="167">FD11</f>
        <v>0</v>
      </c>
      <c r="FF37" s="43">
        <f t="shared" ref="FF37" si="168">FF11</f>
        <v>-317223.04000000004</v>
      </c>
      <c r="FH37" s="43">
        <f t="shared" ref="FH37" si="169">FH11</f>
        <v>682111.89525000006</v>
      </c>
      <c r="FJ37" s="43">
        <f>SUM(EZ37:FH37)</f>
        <v>-8189668.2765466198</v>
      </c>
      <c r="FM37" s="59" t="s">
        <v>86</v>
      </c>
      <c r="FN37" s="43">
        <f>FN11-GB11</f>
        <v>-2574882.2949999999</v>
      </c>
      <c r="FO37" s="43"/>
      <c r="FP37" s="43">
        <f t="shared" ref="FP37:FP43" si="170">FP11-GD11</f>
        <v>-4903092.3347195145</v>
      </c>
      <c r="FR37" s="43">
        <f t="shared" ref="FR37:FR43" si="171">FR11-GF11</f>
        <v>0</v>
      </c>
      <c r="FT37" s="43">
        <f t="shared" ref="FT37:FT43" si="172">FT11-GH11</f>
        <v>-339255.87000000011</v>
      </c>
      <c r="FV37" s="43">
        <f t="shared" ref="FV37:FV43" si="173">FV11-GJ11</f>
        <v>1030391.8874959475</v>
      </c>
      <c r="FX37" s="43">
        <f>SUM(FN37:FV37)</f>
        <v>-6786838.6122235674</v>
      </c>
      <c r="GA37" s="59" t="s">
        <v>86</v>
      </c>
      <c r="GB37" s="43">
        <f t="shared" ref="GB37:GB43" si="174">GB11-GP11</f>
        <v>-3217080.8225249993</v>
      </c>
      <c r="GC37" s="43"/>
      <c r="GD37" s="43">
        <f t="shared" ref="GD37:GD43" si="175">GD11-GR11</f>
        <v>-4246322.158499999</v>
      </c>
      <c r="GF37" s="43">
        <f t="shared" ref="GF37:GF43" si="176">GF11-GT11</f>
        <v>0</v>
      </c>
      <c r="GH37" s="43">
        <f t="shared" ref="GH37:GH43" si="177">GH11-GV11</f>
        <v>-278090.53999999992</v>
      </c>
      <c r="GJ37" s="43">
        <f t="shared" ref="GJ37:GJ43" si="178">GJ11-GX11</f>
        <v>545531.43685607333</v>
      </c>
      <c r="GL37" s="43">
        <f>SUM(GB37:GJ37)</f>
        <v>-7195962.084168925</v>
      </c>
      <c r="GO37" s="59" t="s">
        <v>86</v>
      </c>
      <c r="GP37" s="43">
        <f t="shared" ref="GP37:GP43" si="179">GP11-HD11</f>
        <v>-2944187.0841570003</v>
      </c>
      <c r="GQ37" s="43"/>
      <c r="GR37" s="43">
        <f t="shared" ref="GR37:GR43" si="180">GR11-HF11</f>
        <v>-4454710.0114999991</v>
      </c>
      <c r="GT37" s="43">
        <f t="shared" ref="GT37:GT43" si="181">GT11-HH11</f>
        <v>0</v>
      </c>
      <c r="GV37" s="43">
        <f t="shared" ref="GV37:GV43" si="182">GV11-HJ11</f>
        <v>-300829.09000000003</v>
      </c>
      <c r="GX37" s="43">
        <f t="shared" ref="GX37:GX43" si="183">GX11-HL11</f>
        <v>622230.23553321057</v>
      </c>
      <c r="GZ37" s="43">
        <f>SUM(GP37:GX37)</f>
        <v>-7077495.9501237888</v>
      </c>
      <c r="HC37" s="59" t="s">
        <v>86</v>
      </c>
      <c r="HD37" s="43">
        <f>HD11</f>
        <v>-2966651.17</v>
      </c>
      <c r="HE37" s="43"/>
      <c r="HF37" s="43">
        <f>HF11</f>
        <v>-3881233.4900000007</v>
      </c>
      <c r="HH37" s="43">
        <f>HH11</f>
        <v>0</v>
      </c>
      <c r="HJ37" s="43">
        <f>HJ11</f>
        <v>-273075.83</v>
      </c>
      <c r="HL37" s="43">
        <f>HL11</f>
        <v>513885.41311476834</v>
      </c>
      <c r="HN37" s="43">
        <f>SUM(HD37:HL37)</f>
        <v>-6607075.0768852318</v>
      </c>
      <c r="HQ37" s="59" t="s">
        <v>86</v>
      </c>
      <c r="HR37" s="43">
        <f t="shared" ref="HR37:HR43" si="184">HR11-IF11</f>
        <v>-2382768.08</v>
      </c>
      <c r="HS37" s="43"/>
      <c r="HT37" s="43">
        <f t="shared" ref="HT37:HT43" si="185">HT11-IH11</f>
        <v>-3818190.4399999976</v>
      </c>
      <c r="HV37" s="43">
        <f t="shared" ref="HV37:HV43" si="186">HV11-IJ11</f>
        <v>0</v>
      </c>
      <c r="HX37" s="43">
        <f t="shared" ref="HX37:HX43" si="187">HX11-IL11</f>
        <v>-293654.17000000016</v>
      </c>
      <c r="HZ37" s="43">
        <f t="shared" ref="HZ37:HZ42" si="188">HZ11-IN11</f>
        <v>504110.81756092468</v>
      </c>
      <c r="IB37" s="43">
        <f>SUM(HR37:HZ37)</f>
        <v>-5990501.8724390734</v>
      </c>
      <c r="IE37" s="59" t="s">
        <v>86</v>
      </c>
      <c r="IF37" s="43">
        <f t="shared" ref="IF37:IN43" si="189">IF11-IT11</f>
        <v>-1865432.2599999998</v>
      </c>
      <c r="IG37" s="43"/>
      <c r="IH37" s="43">
        <f t="shared" si="189"/>
        <v>-3887122.8500000006</v>
      </c>
      <c r="IJ37" s="43">
        <f t="shared" si="189"/>
        <v>0</v>
      </c>
      <c r="IL37" s="43">
        <f t="shared" si="189"/>
        <v>-324118.01</v>
      </c>
      <c r="IN37" s="43">
        <f t="shared" si="189"/>
        <v>502819.898293996</v>
      </c>
      <c r="IP37" s="43">
        <f>SUM(IF37:IN37)</f>
        <v>-5573853.2217060039</v>
      </c>
      <c r="IS37" s="59" t="s">
        <v>86</v>
      </c>
      <c r="IT37" s="43">
        <f t="shared" ref="IT37:IT43" si="190">IT11-JH11</f>
        <v>-1989460.9700000002</v>
      </c>
      <c r="IU37" s="43"/>
      <c r="IV37" s="43">
        <f t="shared" ref="IV37:IV43" si="191">IV11-JJ11</f>
        <v>-3548264.4600000014</v>
      </c>
      <c r="IX37" s="43">
        <f t="shared" ref="IX37:IX43" si="192">IX11-JL11</f>
        <v>0</v>
      </c>
      <c r="IZ37" s="43">
        <f t="shared" ref="IZ37:IZ43" si="193">IZ11-JN11</f>
        <v>-337775.15</v>
      </c>
      <c r="JB37" s="43">
        <f t="shared" ref="JB37:JB43" si="194">JB11-JP11</f>
        <v>453592.01555853186</v>
      </c>
      <c r="JD37" s="43">
        <f>SUM(IT37:JB37)</f>
        <v>-5421908.5644414704</v>
      </c>
      <c r="JG37" s="59" t="s">
        <v>86</v>
      </c>
      <c r="JH37" s="43">
        <f>JH11</f>
        <v>-2655160.4300000002</v>
      </c>
      <c r="JI37" s="43"/>
      <c r="JJ37" s="43">
        <f>JJ11</f>
        <v>-3868039.93</v>
      </c>
      <c r="JL37" s="43">
        <f>JL11</f>
        <v>0</v>
      </c>
      <c r="JN37" s="43">
        <f>JN11</f>
        <v>-344887.85</v>
      </c>
      <c r="JP37" s="43">
        <f>JP11</f>
        <v>666866.91858654784</v>
      </c>
      <c r="JR37" s="43">
        <f>SUM(JH37:JP37)</f>
        <v>-6201221.2914134525</v>
      </c>
      <c r="JU37" s="59" t="s">
        <v>86</v>
      </c>
      <c r="JV37" s="43">
        <f t="shared" ref="JV37:JV43" si="195">JV11-KJ11</f>
        <v>-1960260.040000001</v>
      </c>
      <c r="JW37" s="43"/>
      <c r="JX37" s="43">
        <f t="shared" ref="JX37:JX43" si="196">JX11-KL11</f>
        <v>-3402832.0199999996</v>
      </c>
      <c r="JZ37" s="43">
        <f t="shared" ref="JZ37:JZ43" si="197">JZ11-KN11</f>
        <v>0</v>
      </c>
      <c r="KB37" s="43">
        <f t="shared" ref="KB37:KB43" si="198">KB11-KP11</f>
        <v>-320345.37000000011</v>
      </c>
      <c r="KD37" s="43">
        <f t="shared" ref="KD37:KD43" si="199">KD11-KR11</f>
        <v>389118.4784775204</v>
      </c>
      <c r="KF37" s="43">
        <f>SUM(JV37:KD37)</f>
        <v>-5294318.9515224807</v>
      </c>
      <c r="KI37" s="59" t="s">
        <v>86</v>
      </c>
      <c r="KJ37" s="43">
        <f t="shared" ref="KJ37:KJ41" si="200">KJ11-KX11</f>
        <v>-2024421.04</v>
      </c>
      <c r="KK37" s="43"/>
      <c r="KL37" s="43">
        <f t="shared" ref="KL37:KL41" si="201">KL11-KZ11</f>
        <v>-3185097.0999999996</v>
      </c>
      <c r="KN37" s="43">
        <f t="shared" ref="KN37:KN41" si="202">KN11-LB11</f>
        <v>0</v>
      </c>
      <c r="KP37" s="43">
        <f t="shared" ref="KP37:KP41" si="203">KP11-LD11</f>
        <v>-383878.16999999993</v>
      </c>
      <c r="KR37" s="43">
        <f t="shared" ref="KR37:KR41" si="204">KR11-LF11</f>
        <v>734242.08776195021</v>
      </c>
      <c r="KT37" s="43">
        <f t="shared" ref="KT37:KT43" si="205">SUM(KJ37:KR37)</f>
        <v>-4859154.2222380489</v>
      </c>
      <c r="KW37" s="59" t="s">
        <v>86</v>
      </c>
      <c r="KX37" s="43">
        <f>KX11-LK11</f>
        <v>-2059797.0900000003</v>
      </c>
      <c r="KY37" s="43"/>
      <c r="KZ37" s="43">
        <f>KZ11-LM11</f>
        <v>-3339099.8399999989</v>
      </c>
      <c r="LB37" s="43">
        <f>LB11-LO11</f>
        <v>0</v>
      </c>
      <c r="LD37" s="43">
        <f>LD11-LQ11</f>
        <v>-358159.04000000004</v>
      </c>
      <c r="LF37" s="43">
        <f t="shared" ref="LF37:LF43" si="206">LF11-LS11</f>
        <v>730081.9556549472</v>
      </c>
      <c r="LH37" s="43">
        <f t="shared" ref="LH37:LH43" si="207">SUM(KX37:LF37)</f>
        <v>-5026974.0143450527</v>
      </c>
      <c r="LJ37" s="59" t="s">
        <v>86</v>
      </c>
      <c r="LK37" s="43">
        <f t="shared" ref="LK37:LK43" si="208">LK11</f>
        <v>-2484122.5399999996</v>
      </c>
      <c r="LL37" s="43"/>
      <c r="LM37" s="43">
        <f t="shared" ref="LM37:LM43" si="209">LM11</f>
        <v>-3057011.3</v>
      </c>
      <c r="LO37" s="43">
        <f t="shared" ref="LO37:LO43" si="210">LO11</f>
        <v>0</v>
      </c>
      <c r="LP37" s="164"/>
      <c r="LQ37" s="43">
        <f t="shared" ref="LQ37:LQ43" si="211">LQ11</f>
        <v>-366625.70999999996</v>
      </c>
      <c r="LS37" s="43">
        <f t="shared" ref="LS37:LS43" si="212">LS11</f>
        <v>737651.36425998749</v>
      </c>
      <c r="LU37" s="43">
        <f>SUM(LK37:LS37)</f>
        <v>-5170108.1857400127</v>
      </c>
      <c r="LW37" s="59" t="s">
        <v>86</v>
      </c>
      <c r="LX37" s="43">
        <f t="shared" ref="LX37:MF43" si="213">LX11-ML11</f>
        <v>-1820081.8500000015</v>
      </c>
      <c r="LY37" s="43"/>
      <c r="LZ37" s="43">
        <f t="shared" si="213"/>
        <v>-2585341.3299999982</v>
      </c>
      <c r="MB37" s="43">
        <f t="shared" si="213"/>
        <v>0</v>
      </c>
      <c r="MD37" s="43">
        <f t="shared" si="213"/>
        <v>-331338.90000000014</v>
      </c>
      <c r="MF37" s="43">
        <f t="shared" si="213"/>
        <v>756946.86500000162</v>
      </c>
      <c r="MH37" s="43">
        <f>SUM(LX37:MF37)</f>
        <v>-3979815.2149999985</v>
      </c>
      <c r="MK37" s="59" t="s">
        <v>86</v>
      </c>
      <c r="ML37" s="43">
        <f t="shared" ref="ML37:ML43" si="214">ML11-MZ11</f>
        <v>-1859151.7000000002</v>
      </c>
      <c r="MM37" s="43"/>
      <c r="MN37" s="43">
        <f t="shared" ref="MN37:MN43" si="215">MN11-NB11</f>
        <v>-2693876.5300000021</v>
      </c>
      <c r="MP37" s="43">
        <f t="shared" ref="MP37:MP43" si="216">MP11-ND11</f>
        <v>0</v>
      </c>
      <c r="MR37" s="43">
        <f t="shared" ref="MR37:MR43" si="217">MR11-NF11</f>
        <v>-431944.40999999992</v>
      </c>
      <c r="MT37" s="43">
        <f t="shared" ref="MT37:MT43" si="218">MT11-NH11</f>
        <v>909258.95499999844</v>
      </c>
      <c r="MV37" s="43">
        <f t="shared" ref="MV37:MV43" si="219">SUM(ML37:MT37)</f>
        <v>-4075713.6850000042</v>
      </c>
      <c r="MY37" s="59" t="s">
        <v>86</v>
      </c>
      <c r="MZ37" s="43">
        <f>MZ11-NM11</f>
        <v>-3140012.8199999994</v>
      </c>
      <c r="NA37" s="43"/>
      <c r="NB37" s="43">
        <f>NB11-NO11</f>
        <v>-2394195.6899999995</v>
      </c>
      <c r="ND37" s="43">
        <f>ND11-NQ11</f>
        <v>0</v>
      </c>
      <c r="NF37" s="43">
        <f>NF11-NS11</f>
        <v>-435833.86000000004</v>
      </c>
      <c r="NH37" s="43">
        <f t="shared" ref="NF37:NH43" si="220">NH11-NU11</f>
        <v>677705.83500000066</v>
      </c>
      <c r="NJ37" s="43">
        <f t="shared" ref="NJ37:NJ43" si="221">SUM(MZ37:NH37)</f>
        <v>-5292336.5349999983</v>
      </c>
      <c r="NL37" s="59" t="s">
        <v>86</v>
      </c>
      <c r="NM37" s="43">
        <f>NM11</f>
        <v>-2913885.34</v>
      </c>
      <c r="NN37" s="43"/>
      <c r="NO37" s="43">
        <f>NO11</f>
        <v>-2699915.3</v>
      </c>
      <c r="NQ37" s="43">
        <f t="shared" ref="NQ37:NQ43" si="222">NQ11</f>
        <v>0</v>
      </c>
      <c r="NR37" s="164"/>
      <c r="NS37" s="43">
        <f t="shared" ref="NS37:NS43" si="223">NS11</f>
        <v>-439063.19</v>
      </c>
      <c r="NU37" s="43">
        <f t="shared" ref="NU37:NU43" si="224">NU11</f>
        <v>854266.93499999959</v>
      </c>
      <c r="NW37" s="43">
        <f t="shared" ref="NW37:NW43" si="225">SUM(NM37:NU37)</f>
        <v>-5198596.8950000005</v>
      </c>
      <c r="NY37" s="59" t="s">
        <v>86</v>
      </c>
      <c r="NZ37" s="43">
        <f>NZ11-OM11</f>
        <v>-1950249.0099999979</v>
      </c>
      <c r="OA37" s="43"/>
      <c r="OB37" s="43">
        <f>OB11-OO11-226860</f>
        <v>-2175871.8800000027</v>
      </c>
      <c r="OD37" s="156">
        <v>0</v>
      </c>
      <c r="OF37" s="43">
        <v>-462272.98000000021</v>
      </c>
      <c r="OG37" s="43">
        <f t="shared" ref="OG37:OG40" si="226">OG11-OT11</f>
        <v>0</v>
      </c>
      <c r="OH37" s="43">
        <v>-144651.34254166298</v>
      </c>
      <c r="OJ37" s="43">
        <f t="shared" si="134"/>
        <v>-4733045.212541664</v>
      </c>
      <c r="OL37" s="59" t="s">
        <v>86</v>
      </c>
      <c r="OM37" s="43">
        <f>OM11-OZ11</f>
        <v>-1755537.620000001</v>
      </c>
      <c r="ON37" s="43"/>
      <c r="OO37" s="43">
        <f>OO11-PB11</f>
        <v>-3335560.7599999979</v>
      </c>
      <c r="OQ37" s="130">
        <f>OQ11-PD11</f>
        <v>0</v>
      </c>
      <c r="OS37" s="43">
        <f>OS11-PF11</f>
        <v>-412384.51999999955</v>
      </c>
      <c r="OU37" s="43">
        <f>OU11-PH11</f>
        <v>1246105.0618750006</v>
      </c>
      <c r="OW37" s="43">
        <f t="shared" si="135"/>
        <v>-4257377.8381249979</v>
      </c>
      <c r="OY37" s="59" t="s">
        <v>86</v>
      </c>
      <c r="OZ37" s="43">
        <f>OZ11-PM11</f>
        <v>-2140752.7699999996</v>
      </c>
      <c r="PA37" s="43"/>
      <c r="PB37" s="43">
        <f>PB11-PO11</f>
        <v>-2602581.959999999</v>
      </c>
      <c r="PD37" s="130">
        <f>PD11-PQ11</f>
        <v>0</v>
      </c>
      <c r="PF37" s="43">
        <f>PF11-PS11</f>
        <v>-467946.1800000004</v>
      </c>
      <c r="PH37" s="43">
        <f>PH11-PU11</f>
        <v>1052006.3426249977</v>
      </c>
      <c r="PJ37" s="43">
        <f t="shared" ref="PJ37:PJ43" si="227">SUM(OZ37:PH37)</f>
        <v>-4159274.5673750015</v>
      </c>
      <c r="PL37" s="59" t="s">
        <v>86</v>
      </c>
      <c r="PM37" s="43">
        <f>PM11-PZ11-QD11</f>
        <v>-2329039.3300000005</v>
      </c>
      <c r="PN37" s="43"/>
      <c r="PO37" s="43">
        <f>PO11-QB11</f>
        <v>-2567516.25</v>
      </c>
      <c r="PQ37" s="130">
        <v>0</v>
      </c>
      <c r="PS37" s="43">
        <f>PS11-QF11</f>
        <v>-421707.97</v>
      </c>
      <c r="PU37" s="43">
        <f>PU11-QH11</f>
        <v>1034192.1341250013</v>
      </c>
      <c r="PW37" s="43">
        <f t="shared" si="136"/>
        <v>-4284071.415874999</v>
      </c>
      <c r="PY37" s="59" t="s">
        <v>86</v>
      </c>
      <c r="PZ37" s="43">
        <f>PZ11-QM11</f>
        <v>-1016226.8799999994</v>
      </c>
      <c r="QA37" s="43"/>
      <c r="QB37" s="43">
        <f>QB11-QO11</f>
        <v>-2329614.7100000009</v>
      </c>
      <c r="QD37" s="43">
        <f>QD11-QQ11</f>
        <v>-995837.22999999975</v>
      </c>
      <c r="QF37" s="43">
        <f>QF11-QS11</f>
        <v>-398274.7699999999</v>
      </c>
      <c r="QH37" s="43">
        <f>QH11-QU11</f>
        <v>1013921.2360833334</v>
      </c>
      <c r="QJ37" s="43">
        <f t="shared" si="137"/>
        <v>-3726032.3539166665</v>
      </c>
      <c r="QL37" s="59" t="s">
        <v>86</v>
      </c>
      <c r="QM37" s="43">
        <f>QM11-QZ11</f>
        <v>-1877204.2900000003</v>
      </c>
      <c r="QN37" s="43"/>
      <c r="QO37" s="43">
        <f>QO11-RB11</f>
        <v>-3576829.2899999991</v>
      </c>
      <c r="QQ37" s="43">
        <f>QQ11-RD11</f>
        <v>-906766.22</v>
      </c>
      <c r="QS37" s="43">
        <f>QS11-RF11</f>
        <v>-411014.79999999993</v>
      </c>
      <c r="QU37" s="43">
        <f>QU11-RH11</f>
        <v>2328876.4000000008</v>
      </c>
      <c r="QW37" s="43">
        <f t="shared" si="138"/>
        <v>-4442938.1999999974</v>
      </c>
      <c r="QY37" s="59" t="s">
        <v>86</v>
      </c>
      <c r="QZ37" s="43">
        <f>QZ11</f>
        <v>-1753390.68</v>
      </c>
      <c r="RA37" s="43"/>
      <c r="RB37" s="43">
        <f>RB11</f>
        <v>-2101939.9000000004</v>
      </c>
      <c r="RD37" s="43">
        <f>RD11</f>
        <v>-875719.46</v>
      </c>
      <c r="RF37" s="43">
        <f>RF11</f>
        <v>-404408.77</v>
      </c>
      <c r="RH37" s="43">
        <f>RH11</f>
        <v>781529.73999999941</v>
      </c>
      <c r="RJ37" s="43">
        <f t="shared" si="139"/>
        <v>-4353929.0700000012</v>
      </c>
      <c r="RL37" s="59" t="s">
        <v>86</v>
      </c>
      <c r="RM37" s="43">
        <f>RM11-RZ11</f>
        <v>-1077335.0300000003</v>
      </c>
      <c r="RN37" s="43"/>
      <c r="RO37" s="43">
        <f>RO11-SB11</f>
        <v>-4814328.5599999987</v>
      </c>
      <c r="RQ37" s="43">
        <f>RQ11-SD11</f>
        <v>-994531.64999999991</v>
      </c>
      <c r="RS37" s="43">
        <f>RS11-SF11</f>
        <v>-569400.02</v>
      </c>
      <c r="RU37" s="43">
        <f>RU11-SH11</f>
        <v>3606090.7499999986</v>
      </c>
      <c r="RW37" s="43">
        <f t="shared" si="140"/>
        <v>-3849504.5099999993</v>
      </c>
      <c r="RY37" s="59" t="s">
        <v>86</v>
      </c>
      <c r="RZ37" s="43">
        <f>RZ11-SM11</f>
        <v>-1012492.9599999997</v>
      </c>
      <c r="SA37" s="43"/>
      <c r="SB37" s="43">
        <f>SB11-SO11</f>
        <v>-2011191.7999999989</v>
      </c>
      <c r="SD37" s="43">
        <f>SD11-SQ11</f>
        <v>-888326.85000000009</v>
      </c>
      <c r="SF37" s="43">
        <f>SF11-SS11</f>
        <v>-393318.75000000012</v>
      </c>
      <c r="SH37" s="43">
        <f>SH11-SU11</f>
        <v>870751.6699999976</v>
      </c>
      <c r="SJ37" s="43">
        <f t="shared" si="141"/>
        <v>-3434578.6900000018</v>
      </c>
      <c r="SL37" s="59" t="s">
        <v>86</v>
      </c>
      <c r="SM37" s="43">
        <f>SM11-SZ11</f>
        <v>-1076433.6200000001</v>
      </c>
      <c r="SN37" s="43"/>
      <c r="SO37" s="43">
        <f>SO11-TB11</f>
        <v>-2545118.7000000002</v>
      </c>
      <c r="SQ37" s="43">
        <f>SQ11-TD11</f>
        <v>-799051.12999999989</v>
      </c>
      <c r="SS37" s="43">
        <f>SS11-TF11</f>
        <v>-444475.06000000011</v>
      </c>
      <c r="SU37" s="43">
        <f>SU11-TH11</f>
        <v>1537963.5800000033</v>
      </c>
      <c r="SW37" s="43">
        <f t="shared" si="142"/>
        <v>-3327114.9299999974</v>
      </c>
      <c r="SY37" s="59" t="s">
        <v>86</v>
      </c>
      <c r="SZ37" s="43">
        <f>SZ11</f>
        <v>-840909.6</v>
      </c>
      <c r="TA37" s="43"/>
      <c r="TB37" s="43">
        <f>TB11</f>
        <v>-1929394.9400000002</v>
      </c>
      <c r="TD37" s="43">
        <f>TD11</f>
        <v>-873556.62000000011</v>
      </c>
      <c r="TF37" s="43">
        <f>TF11</f>
        <v>-432129.94</v>
      </c>
      <c r="TH37" s="43">
        <f>TH11</f>
        <v>869263.85</v>
      </c>
      <c r="TJ37" s="43">
        <f t="shared" si="143"/>
        <v>-3206727.25</v>
      </c>
      <c r="TL37" s="59" t="s">
        <v>86</v>
      </c>
      <c r="TM37" s="43">
        <f>TM11-TZ11</f>
        <v>-1881741.2699999986</v>
      </c>
      <c r="TN37" s="43"/>
      <c r="TO37" s="43">
        <f>TO11-UB11</f>
        <v>-3155770.7800000012</v>
      </c>
      <c r="TQ37" s="43">
        <f>TQ11-UD11</f>
        <v>-987204.51999999909</v>
      </c>
      <c r="TS37" s="43">
        <f>TS11-UF11</f>
        <v>-699400.40999999968</v>
      </c>
      <c r="TU37" s="43">
        <f>TU11-UH11</f>
        <v>2170725.2200000011</v>
      </c>
      <c r="TW37" s="43">
        <f t="shared" si="144"/>
        <v>-4553391.7599999979</v>
      </c>
      <c r="TY37" s="59" t="s">
        <v>86</v>
      </c>
      <c r="TZ37" s="43">
        <f>TZ11-UM11</f>
        <v>-1564196.2600000002</v>
      </c>
      <c r="UA37" s="43"/>
      <c r="UB37" s="43">
        <f>UB11-UO11</f>
        <v>-2325623.5700000003</v>
      </c>
      <c r="UD37" s="43">
        <f>UD11-UQ11</f>
        <v>-878607.30000000028</v>
      </c>
      <c r="UF37" s="43">
        <f>UF11-US11</f>
        <v>-712010.91000000015</v>
      </c>
      <c r="UH37" s="43">
        <f>UH11-UU11</f>
        <v>1703111.8500000038</v>
      </c>
      <c r="UJ37" s="43">
        <f t="shared" si="145"/>
        <v>-3777326.1899999972</v>
      </c>
      <c r="UL37" s="59" t="s">
        <v>86</v>
      </c>
      <c r="UM37" s="43">
        <f>UM11-UZ11</f>
        <v>-1578616.85</v>
      </c>
      <c r="UN37" s="43"/>
      <c r="UO37" s="43">
        <f>UO11-VB11</f>
        <v>-2406323.61</v>
      </c>
      <c r="UQ37" s="43">
        <f>UQ11-VD11</f>
        <v>-925189.7300000001</v>
      </c>
      <c r="US37" s="43">
        <f>US11-VF11</f>
        <v>-724860.29000000015</v>
      </c>
      <c r="UU37" s="43">
        <f>UU11-VH11</f>
        <v>1235791.0599999998</v>
      </c>
      <c r="UW37" s="43">
        <f t="shared" si="146"/>
        <v>-4399199.4200000009</v>
      </c>
      <c r="UY37" s="59" t="s">
        <v>86</v>
      </c>
      <c r="UZ37" s="43">
        <f>UZ11</f>
        <v>-1359633</v>
      </c>
      <c r="VA37" s="43"/>
      <c r="VB37" s="43">
        <f>VB11</f>
        <v>-2431641.8199999998</v>
      </c>
      <c r="VD37" s="43">
        <f>VD11</f>
        <v>-914489.35</v>
      </c>
      <c r="VF37" s="43">
        <f>VF11</f>
        <v>-729839.58</v>
      </c>
      <c r="VH37" s="43">
        <f>VH11</f>
        <v>1162879.82</v>
      </c>
      <c r="VJ37" s="43">
        <f t="shared" si="147"/>
        <v>-4272723.93</v>
      </c>
      <c r="VL37" s="59" t="s">
        <v>86</v>
      </c>
      <c r="VM37" s="43">
        <f>VM11-VZ11</f>
        <v>-1256594.6399999997</v>
      </c>
      <c r="VN37" s="43"/>
      <c r="VO37" s="43">
        <f>VO11-WB11</f>
        <v>-2325370.8457505209</v>
      </c>
      <c r="VQ37" s="43">
        <f>VQ11-WD11</f>
        <v>-1014594.3300000001</v>
      </c>
      <c r="VS37" s="43">
        <f>VS11-WF11</f>
        <v>-964579.69</v>
      </c>
      <c r="VU37" s="43">
        <f>VU11-WH11</f>
        <v>1228503.8999999999</v>
      </c>
      <c r="VW37" s="43">
        <f t="shared" si="148"/>
        <v>-4332635.6057505198</v>
      </c>
      <c r="VY37" s="59" t="s">
        <v>86</v>
      </c>
      <c r="VZ37" s="43">
        <f>VZ11-WM11</f>
        <v>-1060268.98293379</v>
      </c>
      <c r="WA37" s="43"/>
      <c r="WB37" s="43">
        <f>WB11-WO11</f>
        <v>-2211780.4342494793</v>
      </c>
      <c r="WD37" s="43">
        <f>WD11-WQ11</f>
        <v>-1154476.74</v>
      </c>
      <c r="WF37" s="43">
        <f>WF11-WS11</f>
        <v>-767979.6100000001</v>
      </c>
      <c r="WH37" s="43">
        <f>WH11-WU11</f>
        <v>1438540.1599999997</v>
      </c>
      <c r="WJ37" s="43">
        <f t="shared" si="149"/>
        <v>-3755965.6071832697</v>
      </c>
      <c r="WL37" s="59" t="s">
        <v>86</v>
      </c>
      <c r="WM37" s="43">
        <f>WM11-WZ11</f>
        <v>-2360964.8470662101</v>
      </c>
      <c r="WN37" s="43"/>
      <c r="WO37" s="43">
        <f>WO11-XB11</f>
        <v>-2412691.21</v>
      </c>
      <c r="WQ37" s="43">
        <f>WQ11-XD11</f>
        <v>-1033568.24</v>
      </c>
      <c r="WS37" s="43">
        <f>WS11-XF11</f>
        <v>-703102.94646689715</v>
      </c>
      <c r="WU37" s="43">
        <f>WU11-XH11</f>
        <v>1377669.1700000002</v>
      </c>
      <c r="WW37" s="43">
        <f t="shared" si="150"/>
        <v>-5132658.0735331066</v>
      </c>
      <c r="WY37" s="59" t="s">
        <v>86</v>
      </c>
      <c r="WZ37" s="43">
        <f>WZ11</f>
        <v>-1388997.83</v>
      </c>
      <c r="XA37" s="43"/>
      <c r="XB37" s="43">
        <f>XB11</f>
        <v>-2101518.5099999998</v>
      </c>
      <c r="XD37" s="43">
        <f>XD11</f>
        <v>-977273.02</v>
      </c>
      <c r="XF37" s="43">
        <f>XF11</f>
        <v>-649598.37353310292</v>
      </c>
      <c r="XH37" s="43">
        <f>XH11</f>
        <v>1162879.82</v>
      </c>
      <c r="XJ37" s="43">
        <f t="shared" si="151"/>
        <v>-3954507.9135331018</v>
      </c>
      <c r="XL37" s="59" t="s">
        <v>86</v>
      </c>
      <c r="XM37" s="43">
        <f>XM11-XZ11</f>
        <v>-4023595.75</v>
      </c>
      <c r="XN37" s="43"/>
      <c r="XO37" s="43">
        <f>XO11-YB11</f>
        <v>-2217394.2299999995</v>
      </c>
      <c r="XQ37" s="43">
        <f>XQ11-YD11</f>
        <v>-1333569.1200000001</v>
      </c>
      <c r="XS37" s="43">
        <f>XS11-YF11</f>
        <v>-386945.37198619009</v>
      </c>
      <c r="XU37" s="43">
        <f>XU11-YH11</f>
        <v>887598.55000000075</v>
      </c>
      <c r="XW37" s="43">
        <f t="shared" si="152"/>
        <v>-7073905.9219861887</v>
      </c>
      <c r="XY37" s="59"/>
      <c r="XZ37" s="43"/>
      <c r="YA37" s="43"/>
    </row>
    <row r="38" spans="1:660">
      <c r="A38" s="59" t="s">
        <v>64</v>
      </c>
      <c r="B38" s="43"/>
      <c r="C38" s="43"/>
      <c r="F38" s="43"/>
      <c r="O38" s="59" t="s">
        <v>64</v>
      </c>
      <c r="P38" s="43"/>
      <c r="Q38" s="43"/>
      <c r="T38" s="43"/>
      <c r="AC38" s="59" t="s">
        <v>64</v>
      </c>
      <c r="AD38" s="43"/>
      <c r="AE38" s="43"/>
      <c r="AH38" s="43"/>
      <c r="AQ38" s="59" t="s">
        <v>64</v>
      </c>
      <c r="AR38" s="43">
        <f t="shared" ref="AR38" si="228">AR12</f>
        <v>-124361492.149832</v>
      </c>
      <c r="AS38" s="43"/>
      <c r="AT38" s="43">
        <f t="shared" ref="AT38" si="229">AT12</f>
        <v>-2728198.94</v>
      </c>
      <c r="AV38" s="43">
        <f t="shared" si="155"/>
        <v>0</v>
      </c>
      <c r="AX38" s="43">
        <f t="shared" si="156"/>
        <v>0</v>
      </c>
      <c r="AZ38" s="43">
        <f t="shared" si="157"/>
        <v>0</v>
      </c>
      <c r="BB38" s="43">
        <f t="shared" ref="BB38:BB43" si="230">SUM(AR38:AZ38)</f>
        <v>-127089691.08983199</v>
      </c>
      <c r="BE38" s="59" t="s">
        <v>64</v>
      </c>
      <c r="BF38" s="43">
        <f t="shared" ref="BF38:BF43" si="231">BF12-BT12</f>
        <v>-77279464.712965608</v>
      </c>
      <c r="BG38" s="43"/>
      <c r="BH38" s="43">
        <f t="shared" ref="BH38:BH43" si="232">BH12-BV12</f>
        <v>-3072686.080000001</v>
      </c>
      <c r="BJ38" s="43">
        <f t="shared" ref="BJ38:BJ43" si="233">BJ12-BX12</f>
        <v>0</v>
      </c>
      <c r="BL38" s="43">
        <f t="shared" ref="BL38:BL43" si="234">BL12-BZ12</f>
        <v>0</v>
      </c>
      <c r="BN38" s="43">
        <f t="shared" ref="BN38:BN43" si="235">BN12-CB12</f>
        <v>0</v>
      </c>
      <c r="BP38" s="43">
        <f t="shared" ref="BP38:BP43" si="236">SUM(BF38:BN38)</f>
        <v>-80352150.792965606</v>
      </c>
      <c r="BS38" s="59" t="s">
        <v>64</v>
      </c>
      <c r="BT38" s="43">
        <f t="shared" si="158"/>
        <v>-67428682.117127687</v>
      </c>
      <c r="BU38" s="43"/>
      <c r="BV38" s="43">
        <f t="shared" si="158"/>
        <v>-1455743.0599999996</v>
      </c>
      <c r="BX38" s="43">
        <f t="shared" si="158"/>
        <v>0</v>
      </c>
      <c r="BZ38" s="43">
        <f t="shared" si="158"/>
        <v>0</v>
      </c>
      <c r="CB38" s="43">
        <f t="shared" si="158"/>
        <v>34804.281033306128</v>
      </c>
      <c r="CD38" s="43">
        <f t="shared" ref="CD38:CD43" si="237">SUM(BT38:CB38)</f>
        <v>-68849620.896094382</v>
      </c>
      <c r="CG38" s="59" t="s">
        <v>64</v>
      </c>
      <c r="CH38" s="43">
        <f t="shared" si="159"/>
        <v>-37368311.529988378</v>
      </c>
      <c r="CI38" s="43"/>
      <c r="CJ38" s="43">
        <f t="shared" si="159"/>
        <v>-3250626.1</v>
      </c>
      <c r="CL38" s="43">
        <f t="shared" si="159"/>
        <v>0</v>
      </c>
      <c r="CN38" s="43">
        <f t="shared" si="159"/>
        <v>0</v>
      </c>
      <c r="CP38" s="43">
        <f t="shared" si="159"/>
        <v>-1.0333061218261719E-3</v>
      </c>
      <c r="CR38" s="43">
        <f t="shared" ref="CR38:CR43" si="238">SUM(CH38:CP38)</f>
        <v>-40618937.631021686</v>
      </c>
      <c r="CU38" s="59" t="s">
        <v>64</v>
      </c>
      <c r="CV38" s="43">
        <f t="shared" si="160"/>
        <v>-194154141.48897833</v>
      </c>
      <c r="CW38" s="43"/>
      <c r="CX38" s="43">
        <f t="shared" si="160"/>
        <v>-1401200.98</v>
      </c>
      <c r="CZ38" s="43">
        <f t="shared" ref="CZ38" si="239">CZ12</f>
        <v>0</v>
      </c>
      <c r="DB38" s="43">
        <f t="shared" ref="DB38" si="240">DB12</f>
        <v>0</v>
      </c>
      <c r="DD38" s="43">
        <f t="shared" ref="DD38" si="241">DD12</f>
        <v>2500.02</v>
      </c>
      <c r="DF38" s="43">
        <f t="shared" ref="DF38:DF43" si="242">SUM(CV38:DD38)</f>
        <v>-195552842.4489783</v>
      </c>
      <c r="DI38" s="59" t="s">
        <v>64</v>
      </c>
      <c r="DJ38" s="43">
        <f t="shared" ref="DJ38:DR43" si="243">DJ12-DX12</f>
        <v>-79298334.102880478</v>
      </c>
      <c r="DK38" s="43"/>
      <c r="DL38" s="43">
        <f t="shared" si="243"/>
        <v>-2193405.0299999993</v>
      </c>
      <c r="DN38" s="43">
        <f t="shared" si="243"/>
        <v>0</v>
      </c>
      <c r="DP38" s="43">
        <f t="shared" si="243"/>
        <v>0</v>
      </c>
      <c r="DR38" s="43">
        <f t="shared" si="243"/>
        <v>0</v>
      </c>
      <c r="DT38" s="43">
        <f t="shared" ref="DT38:DT43" si="244">SUM(DJ38:DR38)</f>
        <v>-81491739.132880479</v>
      </c>
      <c r="DW38" s="59" t="s">
        <v>64</v>
      </c>
      <c r="DX38" s="43">
        <f t="shared" si="164"/>
        <v>-58447493.131815538</v>
      </c>
      <c r="DY38" s="43"/>
      <c r="DZ38" s="43">
        <f t="shared" si="164"/>
        <v>-1122962.8799999999</v>
      </c>
      <c r="EB38" s="43">
        <f t="shared" si="164"/>
        <v>0</v>
      </c>
      <c r="ED38" s="43">
        <f t="shared" si="164"/>
        <v>0</v>
      </c>
      <c r="EF38" s="43">
        <f t="shared" si="164"/>
        <v>0</v>
      </c>
      <c r="EH38" s="43">
        <f t="shared" ref="EH38:EH43" si="245">SUM(DX38:EF38)</f>
        <v>-59570456.01181554</v>
      </c>
      <c r="EK38" s="59" t="s">
        <v>64</v>
      </c>
      <c r="EL38" s="43">
        <f t="shared" si="165"/>
        <v>-33910603.209943995</v>
      </c>
      <c r="EM38" s="43"/>
      <c r="EN38" s="43">
        <f t="shared" si="165"/>
        <v>-3055691.6300000004</v>
      </c>
      <c r="EP38" s="43">
        <f t="shared" si="165"/>
        <v>0</v>
      </c>
      <c r="ER38" s="43">
        <f t="shared" si="165"/>
        <v>0</v>
      </c>
      <c r="ET38" s="43">
        <f t="shared" si="165"/>
        <v>22147.666639947522</v>
      </c>
      <c r="EV38" s="43">
        <f t="shared" ref="EV38:EV43" si="246">SUM(EL38:ET38)</f>
        <v>-36944147.173304051</v>
      </c>
      <c r="EY38" s="59" t="s">
        <v>64</v>
      </c>
      <c r="EZ38" s="43">
        <f t="shared" ref="EZ38:FB38" si="247">EZ12</f>
        <v>-97619233.465360016</v>
      </c>
      <c r="FA38" s="43"/>
      <c r="FB38" s="43">
        <f t="shared" si="247"/>
        <v>-1730293.27</v>
      </c>
      <c r="FD38" s="43">
        <f t="shared" ref="FD38" si="248">FD12</f>
        <v>0</v>
      </c>
      <c r="FF38" s="43">
        <f t="shared" ref="FF38" si="249">FF12</f>
        <v>0</v>
      </c>
      <c r="FH38" s="43">
        <f t="shared" ref="FH38" si="250">FH12</f>
        <v>-22147.666639947522</v>
      </c>
      <c r="FJ38" s="43">
        <f t="shared" ref="FJ38:FJ43" si="251">SUM(EZ38:FH38)</f>
        <v>-99371674.401999965</v>
      </c>
      <c r="FM38" s="59" t="s">
        <v>64</v>
      </c>
      <c r="FN38" s="43">
        <f t="shared" ref="FN38:FN43" si="252">FN12-GB12</f>
        <v>-32441191.641765013</v>
      </c>
      <c r="FO38" s="43"/>
      <c r="FP38" s="43">
        <f t="shared" si="170"/>
        <v>-550830.37000000011</v>
      </c>
      <c r="FR38" s="43">
        <f t="shared" si="171"/>
        <v>0</v>
      </c>
      <c r="FT38" s="43">
        <f t="shared" si="172"/>
        <v>0</v>
      </c>
      <c r="FV38" s="43">
        <f t="shared" si="173"/>
        <v>0</v>
      </c>
      <c r="FX38" s="43">
        <f t="shared" ref="FX38:FX43" si="253">SUM(FN38:FV38)</f>
        <v>-32992022.011765014</v>
      </c>
      <c r="GA38" s="59" t="s">
        <v>64</v>
      </c>
      <c r="GB38" s="43">
        <f t="shared" si="174"/>
        <v>-16227646.594597667</v>
      </c>
      <c r="GC38" s="43"/>
      <c r="GD38" s="43">
        <f t="shared" si="175"/>
        <v>-1543394.15</v>
      </c>
      <c r="GF38" s="43">
        <f t="shared" si="176"/>
        <v>0</v>
      </c>
      <c r="GH38" s="43">
        <f t="shared" si="177"/>
        <v>0</v>
      </c>
      <c r="GJ38" s="43">
        <f t="shared" si="178"/>
        <v>1287165</v>
      </c>
      <c r="GL38" s="43">
        <f t="shared" ref="GL38:GL43" si="254">SUM(GB38:GJ38)</f>
        <v>-16483875.744597666</v>
      </c>
      <c r="GO38" s="59" t="s">
        <v>64</v>
      </c>
      <c r="GP38" s="43">
        <f t="shared" si="179"/>
        <v>-19078364.474010002</v>
      </c>
      <c r="GQ38" s="43"/>
      <c r="GR38" s="43">
        <f t="shared" si="180"/>
        <v>-2090850.36</v>
      </c>
      <c r="GT38" s="43">
        <f t="shared" si="181"/>
        <v>0</v>
      </c>
      <c r="GV38" s="43">
        <f t="shared" si="182"/>
        <v>0</v>
      </c>
      <c r="GX38" s="43">
        <f t="shared" si="183"/>
        <v>807762.29</v>
      </c>
      <c r="GZ38" s="43">
        <f t="shared" ref="GZ38:GZ43" si="255">SUM(GP38:GX38)</f>
        <v>-20361452.544010002</v>
      </c>
      <c r="HC38" s="59" t="s">
        <v>64</v>
      </c>
      <c r="HD38" s="43">
        <f t="shared" ref="HD38" si="256">HD12</f>
        <v>-19430468.819999997</v>
      </c>
      <c r="HE38" s="43"/>
      <c r="HF38" s="43">
        <f t="shared" ref="HF38" si="257">HF12</f>
        <v>-1420292.91</v>
      </c>
      <c r="HH38" s="43">
        <f t="shared" ref="HH38:HH39" si="258">HH12</f>
        <v>0</v>
      </c>
      <c r="HJ38" s="43">
        <f t="shared" ref="HJ38:HJ39" si="259">HJ12</f>
        <v>0</v>
      </c>
      <c r="HL38" s="43">
        <f t="shared" ref="HL38:HL39" si="260">HL12</f>
        <v>0</v>
      </c>
      <c r="HN38" s="43">
        <f t="shared" ref="HN38:HN43" si="261">SUM(HD38:HL38)</f>
        <v>-20850761.729999997</v>
      </c>
      <c r="HQ38" s="59" t="s">
        <v>64</v>
      </c>
      <c r="HR38" s="43">
        <f t="shared" si="184"/>
        <v>-34275445.640000001</v>
      </c>
      <c r="HS38" s="43"/>
      <c r="HT38" s="43">
        <f t="shared" si="185"/>
        <v>-1729817.58</v>
      </c>
      <c r="HV38" s="43">
        <f t="shared" si="186"/>
        <v>0</v>
      </c>
      <c r="HX38" s="43">
        <f t="shared" si="187"/>
        <v>0</v>
      </c>
      <c r="HZ38" s="43">
        <f>HZ12-IN12</f>
        <v>-2.9802322387695313E-8</v>
      </c>
      <c r="IB38" s="43">
        <f t="shared" ref="IB38:IB43" si="262">SUM(HR38:HZ38)</f>
        <v>-36005263.220000029</v>
      </c>
      <c r="IE38" s="59" t="s">
        <v>64</v>
      </c>
      <c r="IF38" s="43">
        <f t="shared" si="189"/>
        <v>-4618333.0399999991</v>
      </c>
      <c r="IG38" s="43"/>
      <c r="IH38" s="43">
        <f t="shared" si="189"/>
        <v>-1223100.7999999998</v>
      </c>
      <c r="IJ38" s="43">
        <f t="shared" si="189"/>
        <v>0</v>
      </c>
      <c r="IL38" s="43">
        <f t="shared" si="189"/>
        <v>0</v>
      </c>
      <c r="IN38" s="43">
        <f t="shared" si="189"/>
        <v>2.9802322387695313E-8</v>
      </c>
      <c r="IP38" s="43">
        <f t="shared" ref="IP38:IP43" si="263">SUM(IF38:IN38)</f>
        <v>-5841433.8399999691</v>
      </c>
      <c r="IS38" s="59" t="s">
        <v>64</v>
      </c>
      <c r="IT38" s="43">
        <f t="shared" si="190"/>
        <v>-12238345.32</v>
      </c>
      <c r="IU38" s="43"/>
      <c r="IV38" s="43">
        <f t="shared" si="191"/>
        <v>-1742245.23</v>
      </c>
      <c r="IX38" s="43">
        <f t="shared" si="192"/>
        <v>0</v>
      </c>
      <c r="IZ38" s="43">
        <f t="shared" si="193"/>
        <v>0</v>
      </c>
      <c r="JB38" s="43">
        <f t="shared" si="194"/>
        <v>2720.6699999999983</v>
      </c>
      <c r="JD38" s="43">
        <f t="shared" ref="JD38:JD43" si="264">SUM(IT38:JB38)</f>
        <v>-13977869.880000001</v>
      </c>
      <c r="JG38" s="59" t="s">
        <v>64</v>
      </c>
      <c r="JH38" s="43">
        <f t="shared" ref="JH38:JJ38" si="265">JH12</f>
        <v>-18411702</v>
      </c>
      <c r="JI38" s="43"/>
      <c r="JJ38" s="43">
        <f t="shared" si="265"/>
        <v>-1014794.02</v>
      </c>
      <c r="JL38" s="43">
        <f t="shared" ref="JL38" si="266">JL12</f>
        <v>0</v>
      </c>
      <c r="JN38" s="43">
        <f t="shared" ref="JN38" si="267">JN12</f>
        <v>0</v>
      </c>
      <c r="JP38" s="43">
        <f t="shared" ref="JP38" si="268">JP12</f>
        <v>76381.56</v>
      </c>
      <c r="JR38" s="43">
        <f t="shared" ref="JR38:JR43" si="269">SUM(JH38:JP38)</f>
        <v>-19350114.460000001</v>
      </c>
      <c r="JU38" s="59" t="s">
        <v>64</v>
      </c>
      <c r="JV38" s="43">
        <f t="shared" si="195"/>
        <v>-13390176.480000004</v>
      </c>
      <c r="JW38" s="43"/>
      <c r="JX38" s="43">
        <f t="shared" si="196"/>
        <v>-1631380.5599999996</v>
      </c>
      <c r="JZ38" s="43">
        <f t="shared" si="197"/>
        <v>0</v>
      </c>
      <c r="KB38" s="43">
        <f t="shared" si="198"/>
        <v>0</v>
      </c>
      <c r="KD38" s="43">
        <f t="shared" si="199"/>
        <v>0</v>
      </c>
      <c r="KF38" s="43">
        <f t="shared" ref="KF38:KF43" si="270">SUM(JV38:KD38)</f>
        <v>-15021557.040000003</v>
      </c>
      <c r="KI38" s="59" t="s">
        <v>64</v>
      </c>
      <c r="KJ38" s="43">
        <f t="shared" si="200"/>
        <v>-10694178.329999998</v>
      </c>
      <c r="KK38" s="43"/>
      <c r="KL38" s="43">
        <f t="shared" si="201"/>
        <v>-955491.46</v>
      </c>
      <c r="KN38" s="43">
        <f t="shared" si="202"/>
        <v>0</v>
      </c>
      <c r="KP38" s="43">
        <f t="shared" si="203"/>
        <v>0</v>
      </c>
      <c r="KR38" s="43">
        <f t="shared" si="204"/>
        <v>0</v>
      </c>
      <c r="KT38" s="43">
        <f t="shared" si="205"/>
        <v>-11649669.789999999</v>
      </c>
      <c r="KW38" s="59" t="s">
        <v>64</v>
      </c>
      <c r="KX38" s="43">
        <f t="shared" ref="KX38:KX43" si="271">KX12-LK12</f>
        <v>-21166753.279999997</v>
      </c>
      <c r="KY38" s="43"/>
      <c r="KZ38" s="43">
        <f t="shared" ref="KZ38:KZ43" si="272">KZ12-LM12</f>
        <v>-2493889.7200000002</v>
      </c>
      <c r="LB38" s="43">
        <f t="shared" ref="LB38:LB43" si="273">LB12-LO12</f>
        <v>0</v>
      </c>
      <c r="LD38" s="43">
        <f t="shared" ref="LD38:LD43" si="274">LD12-LQ12</f>
        <v>0</v>
      </c>
      <c r="LF38" s="43">
        <f t="shared" si="206"/>
        <v>0</v>
      </c>
      <c r="LH38" s="43">
        <f t="shared" si="207"/>
        <v>-23660642.999999996</v>
      </c>
      <c r="LJ38" s="59" t="s">
        <v>64</v>
      </c>
      <c r="LK38" s="43">
        <f t="shared" si="208"/>
        <v>-21683386.550000001</v>
      </c>
      <c r="LL38" s="43"/>
      <c r="LM38" s="43">
        <f t="shared" si="209"/>
        <v>-2361977.44</v>
      </c>
      <c r="LO38" s="43">
        <f t="shared" si="210"/>
        <v>0</v>
      </c>
      <c r="LP38" s="164"/>
      <c r="LQ38" s="43">
        <f t="shared" si="211"/>
        <v>0</v>
      </c>
      <c r="LS38" s="43">
        <f t="shared" si="212"/>
        <v>0</v>
      </c>
      <c r="LU38" s="43">
        <f t="shared" ref="LU38:LU43" si="275">SUM(LK38:LS38)</f>
        <v>-24045363.990000002</v>
      </c>
      <c r="LW38" s="59" t="s">
        <v>64</v>
      </c>
      <c r="LX38" s="43">
        <f t="shared" si="213"/>
        <v>-21273066.059999995</v>
      </c>
      <c r="LY38" s="43"/>
      <c r="LZ38" s="43">
        <f t="shared" si="213"/>
        <v>-1360008.0499999998</v>
      </c>
      <c r="MB38" s="43">
        <f t="shared" si="213"/>
        <v>0</v>
      </c>
      <c r="MD38" s="43">
        <f t="shared" si="213"/>
        <v>0</v>
      </c>
      <c r="MF38" s="43">
        <f t="shared" si="213"/>
        <v>-31981.330000001471</v>
      </c>
      <c r="MH38" s="43">
        <f t="shared" ref="MH38:MH43" si="276">SUM(LX38:MF38)</f>
        <v>-22665055.439999998</v>
      </c>
      <c r="MK38" s="59" t="s">
        <v>64</v>
      </c>
      <c r="ML38" s="43">
        <f t="shared" si="214"/>
        <v>-5912608.2199999988</v>
      </c>
      <c r="MM38" s="43"/>
      <c r="MN38" s="43">
        <f t="shared" si="215"/>
        <v>-1508529.0100000002</v>
      </c>
      <c r="MP38" s="43">
        <f t="shared" si="216"/>
        <v>0</v>
      </c>
      <c r="MR38" s="43">
        <f t="shared" si="217"/>
        <v>0</v>
      </c>
      <c r="MT38" s="43">
        <f t="shared" si="218"/>
        <v>-186559.84999999852</v>
      </c>
      <c r="MV38" s="43">
        <f t="shared" si="219"/>
        <v>-7607697.0799999973</v>
      </c>
      <c r="MY38" s="59" t="s">
        <v>64</v>
      </c>
      <c r="MZ38" s="43">
        <f t="shared" ref="MZ38:MZ43" si="277">MZ12-NM12</f>
        <v>-6692456.2100000009</v>
      </c>
      <c r="NA38" s="43"/>
      <c r="NB38" s="43">
        <f t="shared" ref="NB38:NB43" si="278">NB12-NO12</f>
        <v>-412288.26</v>
      </c>
      <c r="ND38" s="43">
        <f t="shared" ref="ND38:ND43" si="279">ND12-NQ12</f>
        <v>0</v>
      </c>
      <c r="NF38" s="43">
        <f t="shared" si="220"/>
        <v>0</v>
      </c>
      <c r="NH38" s="43">
        <f t="shared" si="220"/>
        <v>-47439.8</v>
      </c>
      <c r="NJ38" s="43">
        <f t="shared" si="221"/>
        <v>-7152184.2700000005</v>
      </c>
      <c r="NL38" s="59" t="s">
        <v>64</v>
      </c>
      <c r="NM38" s="43">
        <f>NM12</f>
        <v>-45161413.170000002</v>
      </c>
      <c r="NN38" s="43"/>
      <c r="NO38" s="43">
        <f>NO12</f>
        <v>-1000707.51</v>
      </c>
      <c r="NQ38" s="43">
        <f t="shared" si="222"/>
        <v>0</v>
      </c>
      <c r="NR38" s="164"/>
      <c r="NS38" s="43">
        <f t="shared" si="223"/>
        <v>0</v>
      </c>
      <c r="NU38" s="43">
        <f t="shared" si="224"/>
        <v>-59262</v>
      </c>
      <c r="NW38" s="43">
        <f t="shared" si="225"/>
        <v>-46221382.68</v>
      </c>
      <c r="NY38" s="59" t="s">
        <v>64</v>
      </c>
      <c r="NZ38" s="43">
        <f>NZ12-OM12</f>
        <v>-13218704.180000007</v>
      </c>
      <c r="OA38" s="43"/>
      <c r="OB38" s="43">
        <f>OB12-OO12</f>
        <v>-1234316.3700000001</v>
      </c>
      <c r="OD38" s="156">
        <v>0</v>
      </c>
      <c r="OF38" s="43">
        <v>0</v>
      </c>
      <c r="OG38" s="43">
        <f t="shared" si="226"/>
        <v>0</v>
      </c>
      <c r="OH38" s="43">
        <v>-72203.219999991939</v>
      </c>
      <c r="OJ38" s="43">
        <f t="shared" si="134"/>
        <v>-14525223.77</v>
      </c>
      <c r="OL38" s="59" t="s">
        <v>64</v>
      </c>
      <c r="OM38" s="43">
        <f>OM12-OZ12</f>
        <v>-3214904.849999994</v>
      </c>
      <c r="ON38" s="43"/>
      <c r="OO38" s="43">
        <f>OO12-PB12</f>
        <v>-735795.96</v>
      </c>
      <c r="OQ38" s="130">
        <f>OQ12-PD12</f>
        <v>0</v>
      </c>
      <c r="OS38" s="43">
        <f>OS12-PF12</f>
        <v>0</v>
      </c>
      <c r="OU38" s="43">
        <f>OU12-PH12</f>
        <v>-3787.6699999999983</v>
      </c>
      <c r="OW38" s="43">
        <f t="shared" si="135"/>
        <v>-3954488.4799999939</v>
      </c>
      <c r="OY38" s="59" t="s">
        <v>64</v>
      </c>
      <c r="OZ38" s="43">
        <f>OZ12-PM12</f>
        <v>-968879.88000000641</v>
      </c>
      <c r="PA38" s="43"/>
      <c r="PB38" s="43">
        <f>PB12-PO12</f>
        <v>-621639.60000000009</v>
      </c>
      <c r="PD38" s="130">
        <f>PD12-PQ12</f>
        <v>0</v>
      </c>
      <c r="PF38" s="43">
        <f>PF12-PS12</f>
        <v>0</v>
      </c>
      <c r="PH38" s="43">
        <f>PH12-PU12</f>
        <v>-6396.6900000000023</v>
      </c>
      <c r="PJ38" s="43">
        <f t="shared" si="227"/>
        <v>-1596916.1700000064</v>
      </c>
      <c r="PL38" s="59" t="s">
        <v>64</v>
      </c>
      <c r="PM38" s="43">
        <f>PM12-PZ12-QD12</f>
        <v>-21855268.629999995</v>
      </c>
      <c r="PN38" s="43"/>
      <c r="PO38" s="43">
        <f>PO12-QB12</f>
        <v>-1062474.1499999999</v>
      </c>
      <c r="PQ38" s="130">
        <v>0</v>
      </c>
      <c r="PS38" s="43">
        <f>PS12-QF12</f>
        <v>0</v>
      </c>
      <c r="PU38" s="43">
        <f>PU12-QH12</f>
        <v>33781.379999999997</v>
      </c>
      <c r="PW38" s="43">
        <f t="shared" si="136"/>
        <v>-22883961.399999995</v>
      </c>
      <c r="PY38" s="59" t="s">
        <v>64</v>
      </c>
      <c r="PZ38" s="43">
        <f>PZ12-QM12</f>
        <v>-4094982.2399999993</v>
      </c>
      <c r="QA38" s="43"/>
      <c r="QB38" s="43">
        <f>QB12-QO12</f>
        <v>-996269.2100000002</v>
      </c>
      <c r="QD38" s="43">
        <f>QD12-QQ12</f>
        <v>-26613.97</v>
      </c>
      <c r="QF38" s="43">
        <f>QF12-QS12</f>
        <v>0</v>
      </c>
      <c r="QH38" s="43">
        <f>QH12-QU12</f>
        <v>-6635.5300000000007</v>
      </c>
      <c r="QJ38" s="43">
        <f t="shared" si="137"/>
        <v>-5124500.9499999993</v>
      </c>
      <c r="QL38" s="59" t="s">
        <v>64</v>
      </c>
      <c r="QM38" s="43">
        <f>QM12-QZ12</f>
        <v>-1764174.9400000002</v>
      </c>
      <c r="QN38" s="43"/>
      <c r="QO38" s="43">
        <f>QO12-RB12</f>
        <v>-356883.05999999994</v>
      </c>
      <c r="QQ38" s="43">
        <f>QQ12-RD12</f>
        <v>-29471.929999999993</v>
      </c>
      <c r="QS38" s="43">
        <f>QS12-RF12</f>
        <v>0</v>
      </c>
      <c r="QU38" s="43">
        <f>QU12-RH12</f>
        <v>-3738.9999999998199</v>
      </c>
      <c r="QW38" s="43">
        <f t="shared" si="138"/>
        <v>-2154268.9300000002</v>
      </c>
      <c r="QY38" s="59" t="s">
        <v>64</v>
      </c>
      <c r="QZ38" s="43">
        <f>QZ12</f>
        <v>-1212126.01</v>
      </c>
      <c r="RA38" s="43"/>
      <c r="RB38" s="43">
        <f>RB12</f>
        <v>-167585.09999999998</v>
      </c>
      <c r="RD38" s="43">
        <f>RD12</f>
        <v>-46915.880000000005</v>
      </c>
      <c r="RF38" s="43">
        <f>RF12</f>
        <v>0</v>
      </c>
      <c r="RH38" s="43">
        <f>RH12</f>
        <v>-4223.0000000001801</v>
      </c>
      <c r="RJ38" s="43">
        <f t="shared" si="139"/>
        <v>-1430849.99</v>
      </c>
      <c r="RL38" s="59" t="s">
        <v>64</v>
      </c>
      <c r="RM38" s="43">
        <f>RM12-RZ12</f>
        <v>-6972216.1499999985</v>
      </c>
      <c r="RN38" s="43"/>
      <c r="RO38" s="43">
        <f>RO12-SB12</f>
        <v>-792087.8</v>
      </c>
      <c r="RQ38" s="43">
        <f>RQ12-SD12</f>
        <v>-59649.989999999991</v>
      </c>
      <c r="RS38" s="43">
        <f>RS12-SF12</f>
        <v>0</v>
      </c>
      <c r="RU38" s="43">
        <f>RU12-SH12</f>
        <v>-1445.0000000006003</v>
      </c>
      <c r="RW38" s="43">
        <f t="shared" si="140"/>
        <v>-7825398.9399999995</v>
      </c>
      <c r="RY38" s="59" t="s">
        <v>64</v>
      </c>
      <c r="RZ38" s="43">
        <f>RZ12-SM12</f>
        <v>-7603423.5800000001</v>
      </c>
      <c r="SA38" s="43"/>
      <c r="SB38" s="43">
        <f>SB12-SO12</f>
        <v>-445871.28</v>
      </c>
      <c r="SD38" s="43">
        <f>SD12-SQ12</f>
        <v>-20234.380000000005</v>
      </c>
      <c r="SF38" s="43">
        <f>SF12-SS12</f>
        <v>0</v>
      </c>
      <c r="SH38" s="43">
        <f>SH12-SU12</f>
        <v>-3665.6799999972027</v>
      </c>
      <c r="SJ38" s="43">
        <f t="shared" si="141"/>
        <v>-8073194.9199999971</v>
      </c>
      <c r="SL38" s="59" t="s">
        <v>64</v>
      </c>
      <c r="SM38" s="43">
        <f>SM12-SZ12</f>
        <v>-6301536.1100000003</v>
      </c>
      <c r="SN38" s="43"/>
      <c r="SO38" s="43">
        <f>SO12-TB12</f>
        <v>-226796.47000000003</v>
      </c>
      <c r="SQ38" s="43">
        <f>SQ12-TD12</f>
        <v>-130154.05</v>
      </c>
      <c r="SS38" s="43">
        <f>SS12-TF12</f>
        <v>0</v>
      </c>
      <c r="SU38" s="43">
        <f>SU12-TH12</f>
        <v>-27166.600000003298</v>
      </c>
      <c r="SW38" s="43">
        <f t="shared" si="142"/>
        <v>-6685653.2300000032</v>
      </c>
      <c r="SY38" s="59" t="s">
        <v>64</v>
      </c>
      <c r="SZ38" s="43">
        <f>SZ12</f>
        <v>-2383822.54</v>
      </c>
      <c r="TA38" s="43"/>
      <c r="TB38" s="43">
        <f>TB12</f>
        <v>-33108.520000000004</v>
      </c>
      <c r="TD38" s="43">
        <f>TD12</f>
        <v>-130904.06999999999</v>
      </c>
      <c r="TF38" s="43">
        <f>TF12</f>
        <v>0</v>
      </c>
      <c r="TH38" s="43">
        <f>TH12</f>
        <v>0</v>
      </c>
      <c r="TJ38" s="43">
        <f t="shared" si="143"/>
        <v>-2547835.13</v>
      </c>
      <c r="TL38" s="59" t="s">
        <v>64</v>
      </c>
      <c r="TM38" s="43">
        <f>TM12-TZ12</f>
        <v>-17162347.400000006</v>
      </c>
      <c r="TN38" s="43"/>
      <c r="TO38" s="43">
        <f>TO12-UB12</f>
        <v>-717703.7699999999</v>
      </c>
      <c r="TQ38" s="43">
        <f>TQ12-UD12</f>
        <v>-283993.06000000006</v>
      </c>
      <c r="TS38" s="43">
        <f>TS12-UF12</f>
        <v>-2099.9999999947704</v>
      </c>
      <c r="TU38" s="43">
        <f>TU12-UH12</f>
        <v>0</v>
      </c>
      <c r="TW38" s="43">
        <f t="shared" si="144"/>
        <v>-18166144.23</v>
      </c>
      <c r="TY38" s="59" t="s">
        <v>64</v>
      </c>
      <c r="TZ38" s="43">
        <f>TZ12-UM12</f>
        <v>-31925792.109999999</v>
      </c>
      <c r="UA38" s="43"/>
      <c r="UB38" s="43">
        <f>UB12-UO12</f>
        <v>-33727.099999999977</v>
      </c>
      <c r="UD38" s="43">
        <f>UD12-UQ12</f>
        <v>-522141.70999999996</v>
      </c>
      <c r="UF38" s="43">
        <f>UF12-US12</f>
        <v>-3663.9999999970296</v>
      </c>
      <c r="UH38" s="43">
        <f>UH12-UU12</f>
        <v>0</v>
      </c>
      <c r="UJ38" s="43">
        <f t="shared" si="145"/>
        <v>-32485324.919999998</v>
      </c>
      <c r="UL38" s="59" t="s">
        <v>64</v>
      </c>
      <c r="UM38" s="43">
        <f>UM12-UZ12</f>
        <v>-1667627.83</v>
      </c>
      <c r="UN38" s="43"/>
      <c r="UO38" s="43">
        <f>UO12-VB12</f>
        <v>-213249.83000000002</v>
      </c>
      <c r="UQ38" s="43">
        <f>UQ12-VD12</f>
        <v>-23903.73</v>
      </c>
      <c r="US38" s="43">
        <f>US12-VF12</f>
        <v>-8936.93</v>
      </c>
      <c r="UU38" s="43">
        <f>UU12-VH12</f>
        <v>0</v>
      </c>
      <c r="UW38" s="43">
        <f t="shared" si="146"/>
        <v>-1913718.32</v>
      </c>
      <c r="UY38" s="59" t="s">
        <v>64</v>
      </c>
      <c r="UZ38" s="43">
        <f>UZ12</f>
        <v>-4054386.92</v>
      </c>
      <c r="VA38" s="43"/>
      <c r="VB38" s="43">
        <f>VB12</f>
        <v>-136336.95000000001</v>
      </c>
      <c r="VD38" s="43">
        <f>VD12</f>
        <v>0</v>
      </c>
      <c r="VF38" s="43">
        <f>VF12</f>
        <v>0</v>
      </c>
      <c r="VH38" s="43">
        <f>VH12</f>
        <v>0</v>
      </c>
      <c r="VJ38" s="43">
        <f t="shared" si="147"/>
        <v>-4190723.87</v>
      </c>
      <c r="VL38" s="59" t="s">
        <v>64</v>
      </c>
      <c r="VM38" s="43">
        <f>VM12-VZ12</f>
        <v>-19219183.359999999</v>
      </c>
      <c r="VN38" s="43"/>
      <c r="VO38" s="43">
        <f>VO12-WB12</f>
        <v>-370375.41999999993</v>
      </c>
      <c r="VQ38" s="43">
        <f>VQ12-WD12</f>
        <v>0</v>
      </c>
      <c r="VS38" s="43">
        <f>VS12-WF12</f>
        <v>0</v>
      </c>
      <c r="VU38" s="43">
        <f>VU12-WH12</f>
        <v>-97255.479999997013</v>
      </c>
      <c r="VW38" s="43">
        <f t="shared" si="148"/>
        <v>-19686814.259999998</v>
      </c>
      <c r="VY38" s="59" t="s">
        <v>64</v>
      </c>
      <c r="VZ38" s="43">
        <f>VZ12-WM12</f>
        <v>-12903367.109999999</v>
      </c>
      <c r="WA38" s="43"/>
      <c r="WB38" s="43">
        <f>WB12-WO12</f>
        <v>-356863.9600000002</v>
      </c>
      <c r="WD38" s="43">
        <f>WD12-WQ12</f>
        <v>0</v>
      </c>
      <c r="WF38" s="43">
        <f>WF12-WS12</f>
        <v>0</v>
      </c>
      <c r="WH38" s="43">
        <f>WH12-WU12</f>
        <v>-250690</v>
      </c>
      <c r="WJ38" s="43">
        <f t="shared" si="149"/>
        <v>-13510921.07</v>
      </c>
      <c r="WL38" s="59" t="s">
        <v>64</v>
      </c>
      <c r="WM38" s="43">
        <f>WM12-WZ12</f>
        <v>-8744467.709999999</v>
      </c>
      <c r="WN38" s="43"/>
      <c r="WO38" s="43">
        <f>WO12-XB12</f>
        <v>-662722.14999999991</v>
      </c>
      <c r="WQ38" s="43">
        <f>WQ12-XD12</f>
        <v>0</v>
      </c>
      <c r="WS38" s="43">
        <f>WS12-XF12</f>
        <v>0</v>
      </c>
      <c r="WU38" s="43">
        <f>WU12-XH12</f>
        <v>-416153.22</v>
      </c>
      <c r="WW38" s="43">
        <f t="shared" si="150"/>
        <v>-9823343.0800000001</v>
      </c>
      <c r="WY38" s="59" t="s">
        <v>64</v>
      </c>
      <c r="WZ38" s="43">
        <f>WZ12</f>
        <v>-2301398.2200000002</v>
      </c>
      <c r="XA38" s="43"/>
      <c r="XB38" s="43">
        <f>XB12</f>
        <v>-530094.48</v>
      </c>
      <c r="XD38" s="43">
        <f>XD12</f>
        <v>0</v>
      </c>
      <c r="XF38" s="43">
        <f>XF12</f>
        <v>0</v>
      </c>
      <c r="XH38" s="43">
        <f>XH12</f>
        <v>416153.22</v>
      </c>
      <c r="XJ38" s="43">
        <f t="shared" si="151"/>
        <v>-2415339.4800000004</v>
      </c>
      <c r="XL38" s="59" t="s">
        <v>64</v>
      </c>
      <c r="XM38" s="43">
        <f>XM12-XZ12</f>
        <v>-13725689.079999998</v>
      </c>
      <c r="XN38" s="43"/>
      <c r="XO38" s="43">
        <f>XO12-YB12</f>
        <v>-435012.6899999982</v>
      </c>
      <c r="XQ38" s="43">
        <f>XQ12-YD12</f>
        <v>0</v>
      </c>
      <c r="XS38" s="43">
        <f>XS12-YF12</f>
        <v>0</v>
      </c>
      <c r="XU38" s="43">
        <f>XU12-YH12</f>
        <v>-1237195.9699999988</v>
      </c>
      <c r="XW38" s="43">
        <f t="shared" si="152"/>
        <v>-15397897.739999995</v>
      </c>
      <c r="XY38" s="59"/>
      <c r="XZ38" s="43"/>
      <c r="YA38" s="43"/>
    </row>
    <row r="39" spans="1:660">
      <c r="A39" s="59" t="s">
        <v>87</v>
      </c>
      <c r="B39" s="43"/>
      <c r="C39" s="43"/>
      <c r="F39" s="43"/>
      <c r="O39" s="59" t="s">
        <v>87</v>
      </c>
      <c r="P39" s="43"/>
      <c r="Q39" s="43"/>
      <c r="T39" s="43"/>
      <c r="AC39" s="59" t="s">
        <v>87</v>
      </c>
      <c r="AD39" s="43"/>
      <c r="AE39" s="43"/>
      <c r="AH39" s="43"/>
      <c r="AQ39" s="59" t="s">
        <v>87</v>
      </c>
      <c r="AR39" s="43">
        <f t="shared" ref="AR39" si="280">AR13</f>
        <v>-9862392.8804681264</v>
      </c>
      <c r="AS39" s="43"/>
      <c r="AT39" s="43">
        <f t="shared" ref="AT39" si="281">AT13</f>
        <v>-1143879.8399999999</v>
      </c>
      <c r="AV39" s="43">
        <f t="shared" si="155"/>
        <v>0</v>
      </c>
      <c r="AX39" s="43">
        <f t="shared" si="156"/>
        <v>-1081299.7666354293</v>
      </c>
      <c r="AZ39" s="43">
        <f t="shared" si="157"/>
        <v>182815.58076000001</v>
      </c>
      <c r="BB39" s="43">
        <f t="shared" si="230"/>
        <v>-11904756.906343555</v>
      </c>
      <c r="BE39" s="59" t="s">
        <v>87</v>
      </c>
      <c r="BF39" s="43">
        <f t="shared" si="231"/>
        <v>-9723929.7358319946</v>
      </c>
      <c r="BG39" s="43"/>
      <c r="BH39" s="43">
        <f t="shared" si="232"/>
        <v>-1086219.1800000002</v>
      </c>
      <c r="BJ39" s="43">
        <f t="shared" si="233"/>
        <v>0</v>
      </c>
      <c r="BL39" s="43">
        <f t="shared" si="234"/>
        <v>-1076652.6490605175</v>
      </c>
      <c r="BN39" s="43">
        <f t="shared" si="235"/>
        <v>65026.125803888892</v>
      </c>
      <c r="BP39" s="43">
        <f t="shared" si="236"/>
        <v>-11821775.439088622</v>
      </c>
      <c r="BS39" s="59" t="s">
        <v>87</v>
      </c>
      <c r="BT39" s="43">
        <f t="shared" si="158"/>
        <v>-8623394.410134729</v>
      </c>
      <c r="BU39" s="43"/>
      <c r="BV39" s="43">
        <f t="shared" si="158"/>
        <v>-1211970.8399999999</v>
      </c>
      <c r="BX39" s="43">
        <f t="shared" si="158"/>
        <v>0</v>
      </c>
      <c r="BZ39" s="43">
        <f t="shared" si="158"/>
        <v>-1091227.6996363807</v>
      </c>
      <c r="CB39" s="43">
        <f t="shared" si="158"/>
        <v>9586.8881631986005</v>
      </c>
      <c r="CD39" s="43">
        <f t="shared" si="237"/>
        <v>-10917006.061607912</v>
      </c>
      <c r="CG39" s="59" t="s">
        <v>87</v>
      </c>
      <c r="CH39" s="43">
        <f t="shared" si="159"/>
        <v>-7595459.7608400621</v>
      </c>
      <c r="CI39" s="43"/>
      <c r="CJ39" s="43">
        <f t="shared" si="159"/>
        <v>-951843.38000000012</v>
      </c>
      <c r="CL39" s="43">
        <f t="shared" si="159"/>
        <v>0</v>
      </c>
      <c r="CN39" s="43">
        <f t="shared" si="159"/>
        <v>-1089537.8387000482</v>
      </c>
      <c r="CP39" s="43">
        <f t="shared" si="159"/>
        <v>6335.1679395791725</v>
      </c>
      <c r="CR39" s="43">
        <f t="shared" si="238"/>
        <v>-9630505.8116005324</v>
      </c>
      <c r="CU39" s="59" t="s">
        <v>87</v>
      </c>
      <c r="CV39" s="43">
        <f t="shared" si="160"/>
        <v>-8907803.8836740814</v>
      </c>
      <c r="CW39" s="43"/>
      <c r="CX39" s="43">
        <f t="shared" si="160"/>
        <v>-870277.95</v>
      </c>
      <c r="CZ39" s="43">
        <f t="shared" ref="CZ39" si="282">CZ13</f>
        <v>0</v>
      </c>
      <c r="DB39" s="43">
        <f t="shared" ref="DB39" si="283">DB13</f>
        <v>-1131995.594725389</v>
      </c>
      <c r="DD39" s="43">
        <f t="shared" ref="DD39" si="284">DD13</f>
        <v>228504.14</v>
      </c>
      <c r="DF39" s="43">
        <f t="shared" si="242"/>
        <v>-10681573.288399469</v>
      </c>
      <c r="DI39" s="59" t="s">
        <v>87</v>
      </c>
      <c r="DJ39" s="43">
        <f t="shared" si="243"/>
        <v>-7839967.0133001059</v>
      </c>
      <c r="DK39" s="43"/>
      <c r="DL39" s="43">
        <f t="shared" si="243"/>
        <v>-952802.40000000037</v>
      </c>
      <c r="DN39" s="43">
        <f t="shared" si="243"/>
        <v>0</v>
      </c>
      <c r="DP39" s="43">
        <f t="shared" si="243"/>
        <v>-1183113.888049433</v>
      </c>
      <c r="DR39" s="43">
        <f t="shared" si="243"/>
        <v>375643.86169809522</v>
      </c>
      <c r="DT39" s="43">
        <f t="shared" si="244"/>
        <v>-9600239.4396514446</v>
      </c>
      <c r="DW39" s="59" t="s">
        <v>87</v>
      </c>
      <c r="DX39" s="43">
        <f t="shared" si="164"/>
        <v>-6945981.1981720757</v>
      </c>
      <c r="DY39" s="43"/>
      <c r="DZ39" s="43">
        <f t="shared" si="164"/>
        <v>-951133.19999999949</v>
      </c>
      <c r="EB39" s="43">
        <f t="shared" si="164"/>
        <v>0</v>
      </c>
      <c r="ED39" s="43">
        <f t="shared" si="164"/>
        <v>-1212897.6870522834</v>
      </c>
      <c r="EF39" s="43">
        <f t="shared" si="164"/>
        <v>798009.74950711103</v>
      </c>
      <c r="EH39" s="43">
        <f t="shared" si="245"/>
        <v>-8312002.3357172478</v>
      </c>
      <c r="EK39" s="59" t="s">
        <v>87</v>
      </c>
      <c r="EL39" s="43">
        <f t="shared" si="165"/>
        <v>-5822067.1228923015</v>
      </c>
      <c r="EM39" s="43"/>
      <c r="EN39" s="43">
        <f t="shared" si="165"/>
        <v>-895145.02</v>
      </c>
      <c r="EP39" s="43">
        <f t="shared" si="165"/>
        <v>0</v>
      </c>
      <c r="ER39" s="43">
        <f t="shared" si="165"/>
        <v>-1259157.630184371</v>
      </c>
      <c r="ET39" s="43">
        <f t="shared" si="165"/>
        <v>-5075.5215546347645</v>
      </c>
      <c r="EV39" s="43">
        <f t="shared" si="246"/>
        <v>-7981445.294631307</v>
      </c>
      <c r="EY39" s="59" t="s">
        <v>87</v>
      </c>
      <c r="EZ39" s="43">
        <f t="shared" ref="EZ39:FB39" si="285">EZ13</f>
        <v>-4874479.5850547757</v>
      </c>
      <c r="FA39" s="43"/>
      <c r="FB39" s="43">
        <f t="shared" si="285"/>
        <v>-847848.3</v>
      </c>
      <c r="FD39" s="43">
        <f t="shared" ref="FD39" si="286">FD13</f>
        <v>0</v>
      </c>
      <c r="FF39" s="43">
        <f t="shared" ref="FF39" si="287">FF13</f>
        <v>-1220924.52649986</v>
      </c>
      <c r="FH39" s="43">
        <f t="shared" ref="FH39" si="288">FH13</f>
        <v>5075.5215546347645</v>
      </c>
      <c r="FJ39" s="43">
        <f t="shared" si="251"/>
        <v>-6938176.8900000006</v>
      </c>
      <c r="FM39" s="59" t="s">
        <v>87</v>
      </c>
      <c r="FN39" s="43">
        <f t="shared" si="252"/>
        <v>-4046663.2028523646</v>
      </c>
      <c r="FO39" s="43"/>
      <c r="FP39" s="43">
        <f t="shared" si="170"/>
        <v>-778121.37999999989</v>
      </c>
      <c r="FR39" s="43">
        <f t="shared" si="171"/>
        <v>0</v>
      </c>
      <c r="FT39" s="43">
        <f t="shared" si="172"/>
        <v>-1232542.3204371422</v>
      </c>
      <c r="FV39" s="43">
        <f t="shared" si="173"/>
        <v>-268728.78144199587</v>
      </c>
      <c r="FX39" s="43">
        <f t="shared" si="253"/>
        <v>-6326055.6847315021</v>
      </c>
      <c r="GA39" s="59" t="s">
        <v>87</v>
      </c>
      <c r="GB39" s="43">
        <f t="shared" si="174"/>
        <v>-3901226.0931369998</v>
      </c>
      <c r="GC39" s="43"/>
      <c r="GD39" s="43">
        <f t="shared" si="175"/>
        <v>-692714.5</v>
      </c>
      <c r="GF39" s="43">
        <f t="shared" si="176"/>
        <v>0</v>
      </c>
      <c r="GH39" s="43">
        <f t="shared" si="177"/>
        <v>-1191563.1927310918</v>
      </c>
      <c r="GJ39" s="43">
        <f t="shared" si="178"/>
        <v>268728.78204000928</v>
      </c>
      <c r="GL39" s="43">
        <f t="shared" si="254"/>
        <v>-5516775.0038280822</v>
      </c>
      <c r="GO39" s="59" t="s">
        <v>87</v>
      </c>
      <c r="GP39" s="43">
        <f t="shared" si="179"/>
        <v>-3027526.8097604997</v>
      </c>
      <c r="GQ39" s="43"/>
      <c r="GR39" s="43">
        <f t="shared" si="180"/>
        <v>-681588.90999999992</v>
      </c>
      <c r="GT39" s="43">
        <f t="shared" si="181"/>
        <v>0</v>
      </c>
      <c r="GV39" s="43">
        <f t="shared" si="182"/>
        <v>-816276.7948929877</v>
      </c>
      <c r="GX39" s="43">
        <f t="shared" si="183"/>
        <v>48795.759402000003</v>
      </c>
      <c r="GZ39" s="43">
        <f t="shared" si="255"/>
        <v>-4476596.7552514868</v>
      </c>
      <c r="HC39" s="59" t="s">
        <v>87</v>
      </c>
      <c r="HD39" s="43">
        <f t="shared" ref="HD39" si="289">HD13</f>
        <v>-1860071.24</v>
      </c>
      <c r="HE39" s="43"/>
      <c r="HF39" s="43">
        <f t="shared" ref="HF39" si="290">HF13</f>
        <v>-568814.59000000008</v>
      </c>
      <c r="HH39" s="43">
        <f t="shared" si="258"/>
        <v>0</v>
      </c>
      <c r="HJ39" s="43">
        <f t="shared" si="259"/>
        <v>0</v>
      </c>
      <c r="HL39" s="43">
        <f t="shared" si="260"/>
        <v>0</v>
      </c>
      <c r="HN39" s="43">
        <f t="shared" si="261"/>
        <v>-2428885.83</v>
      </c>
      <c r="HQ39" s="59" t="s">
        <v>87</v>
      </c>
      <c r="HR39" s="43">
        <f t="shared" si="184"/>
        <v>-1666098.6600000001</v>
      </c>
      <c r="HS39" s="43"/>
      <c r="HT39" s="43">
        <f t="shared" si="185"/>
        <v>-525959.29999999981</v>
      </c>
      <c r="HV39" s="43">
        <f t="shared" si="186"/>
        <v>0</v>
      </c>
      <c r="HX39" s="43">
        <f t="shared" si="187"/>
        <v>0</v>
      </c>
      <c r="HZ39" s="43">
        <f t="shared" si="188"/>
        <v>1.4901161193847699E-8</v>
      </c>
      <c r="IB39" s="43">
        <f t="shared" si="262"/>
        <v>-2192057.9599999851</v>
      </c>
      <c r="IE39" s="59" t="s">
        <v>87</v>
      </c>
      <c r="IF39" s="43">
        <f t="shared" si="189"/>
        <v>-1177757.2599999998</v>
      </c>
      <c r="IG39" s="43"/>
      <c r="IH39" s="43">
        <f t="shared" si="189"/>
        <v>-750972.03000000026</v>
      </c>
      <c r="IJ39" s="43">
        <f t="shared" si="189"/>
        <v>0</v>
      </c>
      <c r="IL39" s="43">
        <f t="shared" si="189"/>
        <v>0</v>
      </c>
      <c r="IN39" s="43">
        <f t="shared" si="189"/>
        <v>0</v>
      </c>
      <c r="IP39" s="43">
        <f t="shared" si="263"/>
        <v>-1928729.29</v>
      </c>
      <c r="IS39" s="59" t="s">
        <v>87</v>
      </c>
      <c r="IT39" s="43">
        <f t="shared" si="190"/>
        <v>-1156747.6300000004</v>
      </c>
      <c r="IU39" s="43"/>
      <c r="IV39" s="43">
        <f t="shared" si="191"/>
        <v>-679693.48999999987</v>
      </c>
      <c r="IX39" s="43">
        <f t="shared" si="192"/>
        <v>0</v>
      </c>
      <c r="IZ39" s="43">
        <f t="shared" si="193"/>
        <v>0</v>
      </c>
      <c r="JB39" s="43">
        <f t="shared" si="194"/>
        <v>0</v>
      </c>
      <c r="JD39" s="43">
        <f t="shared" si="264"/>
        <v>-1836441.12</v>
      </c>
      <c r="JG39" s="59" t="s">
        <v>87</v>
      </c>
      <c r="JH39" s="43">
        <f t="shared" ref="JH39:JJ39" si="291">JH13</f>
        <v>-1098316.8999999999</v>
      </c>
      <c r="JI39" s="43"/>
      <c r="JJ39" s="43">
        <f t="shared" si="291"/>
        <v>-573028.39</v>
      </c>
      <c r="JL39" s="43">
        <f t="shared" ref="JL39" si="292">JL13</f>
        <v>0</v>
      </c>
      <c r="JN39" s="43">
        <f t="shared" ref="JN39" si="293">JN13</f>
        <v>0</v>
      </c>
      <c r="JP39" s="43">
        <f t="shared" ref="JP39" si="294">JP13</f>
        <v>0</v>
      </c>
      <c r="JR39" s="43">
        <f t="shared" si="269"/>
        <v>-1671345.29</v>
      </c>
      <c r="JU39" s="59" t="s">
        <v>87</v>
      </c>
      <c r="JV39" s="43">
        <f t="shared" si="195"/>
        <v>-1094631.77</v>
      </c>
      <c r="JW39" s="43"/>
      <c r="JX39" s="43">
        <f t="shared" si="196"/>
        <v>-466595.4700000002</v>
      </c>
      <c r="JZ39" s="43">
        <f t="shared" si="197"/>
        <v>0</v>
      </c>
      <c r="KB39" s="43">
        <f t="shared" si="198"/>
        <v>0</v>
      </c>
      <c r="KD39" s="43">
        <f t="shared" si="199"/>
        <v>0</v>
      </c>
      <c r="KF39" s="43">
        <f t="shared" si="270"/>
        <v>-1561227.2400000002</v>
      </c>
      <c r="KI39" s="59" t="s">
        <v>87</v>
      </c>
      <c r="KJ39" s="43">
        <f t="shared" si="200"/>
        <v>-956161.06999999983</v>
      </c>
      <c r="KK39" s="43"/>
      <c r="KL39" s="43">
        <f t="shared" si="201"/>
        <v>-626966.76999999979</v>
      </c>
      <c r="KN39" s="43">
        <f t="shared" si="202"/>
        <v>0</v>
      </c>
      <c r="KP39" s="43">
        <f t="shared" si="203"/>
        <v>0</v>
      </c>
      <c r="KR39" s="43">
        <f t="shared" si="204"/>
        <v>0</v>
      </c>
      <c r="KT39" s="43">
        <f t="shared" si="205"/>
        <v>-1583127.8399999996</v>
      </c>
      <c r="KW39" s="59" t="s">
        <v>87</v>
      </c>
      <c r="KX39" s="43">
        <f t="shared" si="271"/>
        <v>-1361143.8400000003</v>
      </c>
      <c r="KY39" s="43"/>
      <c r="KZ39" s="43">
        <f t="shared" si="272"/>
        <v>-777226.6</v>
      </c>
      <c r="LB39" s="43">
        <f t="shared" si="273"/>
        <v>0</v>
      </c>
      <c r="LD39" s="43">
        <f t="shared" si="274"/>
        <v>0</v>
      </c>
      <c r="LF39" s="43">
        <f t="shared" si="206"/>
        <v>0</v>
      </c>
      <c r="LH39" s="43">
        <f t="shared" si="207"/>
        <v>-2138370.4400000004</v>
      </c>
      <c r="LJ39" s="59" t="s">
        <v>87</v>
      </c>
      <c r="LK39" s="43">
        <f t="shared" si="208"/>
        <v>-1156205.8999999999</v>
      </c>
      <c r="LL39" s="43"/>
      <c r="LM39" s="43">
        <f t="shared" si="209"/>
        <v>-978716.62</v>
      </c>
      <c r="LO39" s="43">
        <f t="shared" si="210"/>
        <v>0</v>
      </c>
      <c r="LP39" s="164"/>
      <c r="LQ39" s="43">
        <f t="shared" si="211"/>
        <v>0</v>
      </c>
      <c r="LS39" s="43">
        <f t="shared" si="212"/>
        <v>0</v>
      </c>
      <c r="LU39" s="43">
        <f t="shared" si="275"/>
        <v>-2134922.52</v>
      </c>
      <c r="LW39" s="59" t="s">
        <v>87</v>
      </c>
      <c r="LX39" s="43">
        <f t="shared" si="213"/>
        <v>-1327576.5199999996</v>
      </c>
      <c r="LY39" s="43"/>
      <c r="LZ39" s="43">
        <f t="shared" si="213"/>
        <v>-671723.69</v>
      </c>
      <c r="MB39" s="43">
        <f t="shared" si="213"/>
        <v>0</v>
      </c>
      <c r="MD39" s="43">
        <f t="shared" si="213"/>
        <v>0</v>
      </c>
      <c r="MF39" s="43">
        <f t="shared" si="213"/>
        <v>0</v>
      </c>
      <c r="MH39" s="43">
        <f t="shared" si="276"/>
        <v>-1999300.2099999995</v>
      </c>
      <c r="MK39" s="59" t="s">
        <v>87</v>
      </c>
      <c r="ML39" s="43">
        <f t="shared" si="214"/>
        <v>-1018639.9700000002</v>
      </c>
      <c r="MM39" s="43"/>
      <c r="MN39" s="43">
        <f t="shared" si="215"/>
        <v>-813489.94</v>
      </c>
      <c r="MP39" s="43">
        <f t="shared" si="216"/>
        <v>0</v>
      </c>
      <c r="MR39" s="43">
        <f t="shared" si="217"/>
        <v>0</v>
      </c>
      <c r="MT39" s="43">
        <f t="shared" si="218"/>
        <v>0</v>
      </c>
      <c r="MV39" s="43">
        <f t="shared" si="219"/>
        <v>-1832129.9100000001</v>
      </c>
      <c r="MY39" s="59" t="s">
        <v>87</v>
      </c>
      <c r="MZ39" s="43">
        <f t="shared" si="277"/>
        <v>-1085612.42</v>
      </c>
      <c r="NA39" s="43"/>
      <c r="NB39" s="43">
        <f t="shared" si="278"/>
        <v>-775828.66999999993</v>
      </c>
      <c r="ND39" s="43">
        <f t="shared" si="279"/>
        <v>0</v>
      </c>
      <c r="NF39" s="43">
        <f t="shared" si="220"/>
        <v>0</v>
      </c>
      <c r="NH39" s="43">
        <f t="shared" si="220"/>
        <v>0</v>
      </c>
      <c r="NJ39" s="43">
        <f t="shared" si="221"/>
        <v>-1861441.0899999999</v>
      </c>
      <c r="NL39" s="59" t="s">
        <v>87</v>
      </c>
      <c r="NM39" s="43">
        <f>NM13</f>
        <v>-873079.14000000013</v>
      </c>
      <c r="NN39" s="43"/>
      <c r="NO39" s="43">
        <f>NO13</f>
        <v>-836035.52</v>
      </c>
      <c r="NQ39" s="43">
        <f t="shared" si="222"/>
        <v>0</v>
      </c>
      <c r="NR39" s="164"/>
      <c r="NS39" s="43">
        <f t="shared" si="223"/>
        <v>0</v>
      </c>
      <c r="NU39" s="43">
        <f t="shared" si="224"/>
        <v>0</v>
      </c>
      <c r="NW39" s="43">
        <f t="shared" si="225"/>
        <v>-1709114.6600000001</v>
      </c>
      <c r="NY39" s="59" t="s">
        <v>87</v>
      </c>
      <c r="NZ39" s="43">
        <f>NZ13-OM13</f>
        <v>-880418.71</v>
      </c>
      <c r="OA39" s="43"/>
      <c r="OB39" s="43">
        <f>OB13-OO13</f>
        <v>-529978.99000000022</v>
      </c>
      <c r="OD39" s="156">
        <v>0</v>
      </c>
      <c r="OF39" s="43">
        <v>0</v>
      </c>
      <c r="OG39" s="43">
        <f t="shared" si="226"/>
        <v>0</v>
      </c>
      <c r="OH39" s="43">
        <v>0</v>
      </c>
      <c r="OJ39" s="43">
        <f t="shared" si="134"/>
        <v>-1410397.7000000002</v>
      </c>
      <c r="OL39" s="59" t="s">
        <v>87</v>
      </c>
      <c r="OM39" s="43">
        <f>OM13-OZ13</f>
        <v>-705309.08999999985</v>
      </c>
      <c r="ON39" s="43"/>
      <c r="OO39" s="43">
        <f>OO13-PB13</f>
        <v>-746155.13999999966</v>
      </c>
      <c r="OQ39" s="130">
        <f>OQ13-PD13</f>
        <v>0</v>
      </c>
      <c r="OS39" s="43">
        <f>OS13-PF13</f>
        <v>0</v>
      </c>
      <c r="OU39" s="43">
        <f>OU13-PH13</f>
        <v>0</v>
      </c>
      <c r="OW39" s="43">
        <f t="shared" si="135"/>
        <v>-1451464.2299999995</v>
      </c>
      <c r="OY39" s="152" t="s">
        <v>87</v>
      </c>
      <c r="OZ39" s="43">
        <f>OZ13-PM13</f>
        <v>-672915.23000000045</v>
      </c>
      <c r="PA39" s="43"/>
      <c r="PB39" s="43">
        <f>PB13-PO13</f>
        <v>-531612.70000000019</v>
      </c>
      <c r="PD39" s="130">
        <f>PD13-PQ13</f>
        <v>0</v>
      </c>
      <c r="PF39" s="43">
        <f>PF13-PS13</f>
        <v>0</v>
      </c>
      <c r="PH39" s="43">
        <f>PH13-PU13</f>
        <v>0</v>
      </c>
      <c r="PJ39" s="43">
        <f t="shared" si="227"/>
        <v>-1204527.9300000006</v>
      </c>
      <c r="PL39" s="59" t="s">
        <v>87</v>
      </c>
      <c r="PM39" s="43">
        <f>PM13-PZ13-QD13</f>
        <v>-660483.72</v>
      </c>
      <c r="PN39" s="43"/>
      <c r="PO39" s="43">
        <f>PO13-QB13</f>
        <v>-582992.32999999984</v>
      </c>
      <c r="PQ39" s="130">
        <v>0</v>
      </c>
      <c r="PS39" s="43">
        <f>PS13-QF13</f>
        <v>0</v>
      </c>
      <c r="PU39" s="43">
        <f>PU13-QH13</f>
        <v>0</v>
      </c>
      <c r="PW39" s="43">
        <f t="shared" si="136"/>
        <v>-1243476.0499999998</v>
      </c>
      <c r="PY39" s="59" t="s">
        <v>87</v>
      </c>
      <c r="PZ39" s="43">
        <f>PZ13-QM13</f>
        <v>-478062.69000000006</v>
      </c>
      <c r="QA39" s="43"/>
      <c r="QB39" s="43">
        <f>QB13-QO13</f>
        <v>-455320.9</v>
      </c>
      <c r="QD39" s="43">
        <f>QD13-QQ13</f>
        <v>0</v>
      </c>
      <c r="QF39" s="43">
        <f>QF13-QS13</f>
        <v>0</v>
      </c>
      <c r="QH39" s="43">
        <f>QH13-QU13</f>
        <v>0</v>
      </c>
      <c r="QJ39" s="43">
        <f t="shared" si="137"/>
        <v>-933383.59000000008</v>
      </c>
      <c r="QL39" s="59" t="s">
        <v>87</v>
      </c>
      <c r="QM39" s="43">
        <f>QM13-QZ13</f>
        <v>-560157.3899999999</v>
      </c>
      <c r="QN39" s="43"/>
      <c r="QO39" s="43">
        <f>QO13-RB13</f>
        <v>-625908.66</v>
      </c>
      <c r="QQ39" s="43">
        <f>QQ13-RD13</f>
        <v>0</v>
      </c>
      <c r="QS39" s="43">
        <f>QS13-RF13</f>
        <v>0</v>
      </c>
      <c r="QU39" s="43">
        <f>QU13-RH13</f>
        <v>5590.00000000003</v>
      </c>
      <c r="QW39" s="43">
        <f t="shared" si="138"/>
        <v>-1180476.0499999998</v>
      </c>
      <c r="QY39" s="59" t="s">
        <v>87</v>
      </c>
      <c r="QZ39" s="43">
        <f>QZ13</f>
        <v>-470662.37</v>
      </c>
      <c r="RA39" s="43"/>
      <c r="RB39" s="43">
        <f>RB13</f>
        <v>-295394.24</v>
      </c>
      <c r="RD39" s="43">
        <f>RD13</f>
        <v>0</v>
      </c>
      <c r="RF39" s="43">
        <f>RF13</f>
        <v>0</v>
      </c>
      <c r="RH39" s="43">
        <f>RH13</f>
        <v>-5590.00000000003</v>
      </c>
      <c r="RJ39" s="43">
        <f t="shared" si="139"/>
        <v>-771646.61</v>
      </c>
      <c r="RL39" s="59" t="s">
        <v>87</v>
      </c>
      <c r="RM39" s="43">
        <f>RM13-RZ13</f>
        <v>-521829.98000000021</v>
      </c>
      <c r="RN39" s="43"/>
      <c r="RO39" s="43">
        <f>RO13-SB13</f>
        <v>-437892.42000000016</v>
      </c>
      <c r="RQ39" s="43">
        <f>RQ13-SD13</f>
        <v>0</v>
      </c>
      <c r="RS39" s="43">
        <f>RS13-SF13</f>
        <v>0</v>
      </c>
      <c r="RU39" s="43">
        <f>RU13-SH13</f>
        <v>0</v>
      </c>
      <c r="RW39" s="43">
        <f t="shared" si="140"/>
        <v>-959722.40000000037</v>
      </c>
      <c r="RY39" s="59" t="s">
        <v>87</v>
      </c>
      <c r="RZ39" s="43">
        <f>RZ13-SM13</f>
        <v>-720234.94999999972</v>
      </c>
      <c r="SA39" s="43"/>
      <c r="SB39" s="43">
        <f>SB13-SO13</f>
        <v>-381467.85999999987</v>
      </c>
      <c r="SD39" s="43">
        <f>SD13-SQ13</f>
        <v>0</v>
      </c>
      <c r="SF39" s="43">
        <f>SF13-SS13</f>
        <v>0</v>
      </c>
      <c r="SH39" s="43">
        <f>SH13-SU13</f>
        <v>0</v>
      </c>
      <c r="SJ39" s="43">
        <f t="shared" si="141"/>
        <v>-1101702.8099999996</v>
      </c>
      <c r="SL39" s="59" t="s">
        <v>87</v>
      </c>
      <c r="SM39" s="43">
        <f>SM13-SZ13</f>
        <v>-633429.62</v>
      </c>
      <c r="SN39" s="43"/>
      <c r="SO39" s="43">
        <f>SO13-TB13</f>
        <v>-374318.19000000006</v>
      </c>
      <c r="SQ39" s="43">
        <f>SQ13-TD13</f>
        <v>0</v>
      </c>
      <c r="SS39" s="43">
        <f>SS13-TF13</f>
        <v>0</v>
      </c>
      <c r="SU39" s="43">
        <f>SU13-TH13</f>
        <v>0</v>
      </c>
      <c r="SW39" s="43">
        <f t="shared" si="142"/>
        <v>-1007747.81</v>
      </c>
      <c r="SY39" s="59" t="s">
        <v>87</v>
      </c>
      <c r="SZ39" s="43">
        <f>SZ13</f>
        <v>-608373.22000000009</v>
      </c>
      <c r="TA39" s="43"/>
      <c r="TB39" s="43">
        <f>TB13</f>
        <v>-369172.89</v>
      </c>
      <c r="TD39" s="43">
        <f>TD13</f>
        <v>0</v>
      </c>
      <c r="TF39" s="43">
        <f>TF13</f>
        <v>0</v>
      </c>
      <c r="TH39" s="43">
        <f>TH13</f>
        <v>0</v>
      </c>
      <c r="TJ39" s="43">
        <f t="shared" si="143"/>
        <v>-977546.1100000001</v>
      </c>
      <c r="TL39" s="59" t="s">
        <v>87</v>
      </c>
      <c r="TM39" s="43">
        <f>TM13-TZ13</f>
        <v>-798526.42000000039</v>
      </c>
      <c r="TN39" s="43"/>
      <c r="TO39" s="43">
        <f>TO13-UB13</f>
        <v>-266415.75</v>
      </c>
      <c r="TQ39" s="43">
        <f>TQ13-UD13</f>
        <v>0</v>
      </c>
      <c r="TS39" s="43">
        <f>TS13-UF13</f>
        <v>0</v>
      </c>
      <c r="TU39" s="43">
        <f>TU13-UH13</f>
        <v>0</v>
      </c>
      <c r="TW39" s="43">
        <f t="shared" si="144"/>
        <v>-1064942.1700000004</v>
      </c>
      <c r="TY39" s="59" t="s">
        <v>87</v>
      </c>
      <c r="TZ39" s="43">
        <f>TZ13-UM13</f>
        <v>-600770.78</v>
      </c>
      <c r="UA39" s="43"/>
      <c r="UB39" s="43">
        <f>UB13-UO13</f>
        <v>-271259.41999999993</v>
      </c>
      <c r="UD39" s="43">
        <f>UD13-UQ13</f>
        <v>0</v>
      </c>
      <c r="UF39" s="43">
        <f>UF13-US13</f>
        <v>0</v>
      </c>
      <c r="UH39" s="43">
        <f>UH13-UU13</f>
        <v>0</v>
      </c>
      <c r="UJ39" s="43">
        <f t="shared" si="145"/>
        <v>-872030.2</v>
      </c>
      <c r="UL39" s="59" t="s">
        <v>87</v>
      </c>
      <c r="UM39" s="43">
        <f>UM13-UZ13</f>
        <v>-1327777.28</v>
      </c>
      <c r="UN39" s="43"/>
      <c r="UO39" s="43">
        <f>UO13-VB13</f>
        <v>-256730</v>
      </c>
      <c r="UQ39" s="43">
        <f>UQ13-VD13</f>
        <v>0</v>
      </c>
      <c r="US39" s="43">
        <f>US13-VF13</f>
        <v>0</v>
      </c>
      <c r="UU39" s="43">
        <f>UU13-VH13</f>
        <v>0</v>
      </c>
      <c r="UW39" s="43">
        <f t="shared" si="146"/>
        <v>-1584507.28</v>
      </c>
      <c r="UY39" s="59" t="s">
        <v>87</v>
      </c>
      <c r="UZ39" s="43">
        <f>UZ13</f>
        <v>-610147.52</v>
      </c>
      <c r="VA39" s="43"/>
      <c r="VB39" s="43">
        <f>VB13</f>
        <v>-241218</v>
      </c>
      <c r="VD39" s="43">
        <f>VD13</f>
        <v>0</v>
      </c>
      <c r="VF39" s="43">
        <f>VF13</f>
        <v>0</v>
      </c>
      <c r="VH39" s="43">
        <f>VH13</f>
        <v>0</v>
      </c>
      <c r="VJ39" s="43">
        <f t="shared" si="147"/>
        <v>-851365.52</v>
      </c>
      <c r="VL39" s="59" t="s">
        <v>87</v>
      </c>
      <c r="VM39" s="43">
        <f>VM13-VZ13</f>
        <v>-842872.2799999998</v>
      </c>
      <c r="VN39" s="43"/>
      <c r="VO39" s="43">
        <f>VO13-WB13</f>
        <v>-306880.69218954595</v>
      </c>
      <c r="VQ39" s="43">
        <f>VQ13-WD13</f>
        <v>0</v>
      </c>
      <c r="VS39" s="43">
        <f>VS13-WF13</f>
        <v>0</v>
      </c>
      <c r="VU39" s="43">
        <f>VU13-WH13</f>
        <v>0</v>
      </c>
      <c r="VW39" s="43">
        <f t="shared" si="148"/>
        <v>-1149752.9721895456</v>
      </c>
      <c r="VY39" s="59" t="s">
        <v>87</v>
      </c>
      <c r="VZ39" s="43">
        <f>VZ13-WM13</f>
        <v>-788411.95</v>
      </c>
      <c r="WA39" s="43"/>
      <c r="WB39" s="43">
        <f>WB13-WO13</f>
        <v>-307722.80781045405</v>
      </c>
      <c r="WD39" s="43">
        <f>WD13-WQ13</f>
        <v>0</v>
      </c>
      <c r="WF39" s="43">
        <f>WF13-WS13</f>
        <v>0</v>
      </c>
      <c r="WH39" s="43">
        <f>WH13-WU13</f>
        <v>0</v>
      </c>
      <c r="WJ39" s="43">
        <f t="shared" si="149"/>
        <v>-1096134.7578104539</v>
      </c>
      <c r="WL39" s="59" t="s">
        <v>87</v>
      </c>
      <c r="WM39" s="43">
        <f>WM13-WZ13</f>
        <v>-753927.81</v>
      </c>
      <c r="WN39" s="43"/>
      <c r="WO39" s="43">
        <f>WO13-XB13</f>
        <v>-319708.14</v>
      </c>
      <c r="WQ39" s="43">
        <f>WQ13-XD13</f>
        <v>0</v>
      </c>
      <c r="WS39" s="43">
        <f>WS13-XF13</f>
        <v>0</v>
      </c>
      <c r="WU39" s="43">
        <f>WU13-XH13</f>
        <v>0</v>
      </c>
      <c r="WW39" s="43">
        <f t="shared" si="150"/>
        <v>-1073635.9500000002</v>
      </c>
      <c r="WY39" s="59" t="s">
        <v>87</v>
      </c>
      <c r="WZ39" s="43">
        <f>WZ13</f>
        <v>-596555.55000000005</v>
      </c>
      <c r="XA39" s="43"/>
      <c r="XB39" s="43">
        <f>XB13</f>
        <v>-308349.36</v>
      </c>
      <c r="XD39" s="43">
        <f>XD13</f>
        <v>0</v>
      </c>
      <c r="XF39" s="43">
        <f>XF13</f>
        <v>0</v>
      </c>
      <c r="XH39" s="43">
        <f>XH13</f>
        <v>0</v>
      </c>
      <c r="XJ39" s="43">
        <f t="shared" si="151"/>
        <v>-904904.91</v>
      </c>
      <c r="XL39" s="59" t="s">
        <v>87</v>
      </c>
      <c r="XM39" s="43">
        <f>XM13-XZ13</f>
        <v>-661037.05000000005</v>
      </c>
      <c r="XN39" s="43"/>
      <c r="XO39" s="43">
        <f>XO13-YB13</f>
        <v>-352652.3600000001</v>
      </c>
      <c r="XQ39" s="43">
        <f>XQ13-YD13</f>
        <v>0</v>
      </c>
      <c r="XS39" s="43">
        <f>XS13-YF13</f>
        <v>0</v>
      </c>
      <c r="XU39" s="43">
        <f>XU13-YH13</f>
        <v>113301</v>
      </c>
      <c r="XW39" s="43">
        <f t="shared" si="152"/>
        <v>-900388.41000000015</v>
      </c>
      <c r="XY39" s="59"/>
      <c r="XZ39" s="43"/>
      <c r="YA39" s="43"/>
    </row>
    <row r="40" spans="1:660">
      <c r="A40" s="152" t="s">
        <v>88</v>
      </c>
      <c r="B40" s="43"/>
      <c r="C40" s="43"/>
      <c r="F40" s="43"/>
      <c r="O40" s="152" t="s">
        <v>88</v>
      </c>
      <c r="P40" s="43"/>
      <c r="Q40" s="43"/>
      <c r="T40" s="43"/>
      <c r="AC40" s="152" t="s">
        <v>88</v>
      </c>
      <c r="AD40" s="43"/>
      <c r="AE40" s="43"/>
      <c r="AH40" s="43"/>
      <c r="AQ40" s="152" t="s">
        <v>88</v>
      </c>
      <c r="AR40" s="43">
        <f t="shared" ref="AR40" si="295">AR14</f>
        <v>0</v>
      </c>
      <c r="AS40" s="43"/>
      <c r="AT40" s="43">
        <f t="shared" ref="AT40" si="296">AT14</f>
        <v>0</v>
      </c>
      <c r="AV40" s="43">
        <f t="shared" si="155"/>
        <v>0</v>
      </c>
      <c r="AX40" s="43">
        <f t="shared" si="156"/>
        <v>-4320356.3312439993</v>
      </c>
      <c r="AZ40" s="43">
        <f t="shared" si="157"/>
        <v>35400</v>
      </c>
      <c r="BB40" s="43">
        <f t="shared" si="230"/>
        <v>-4284956.3312439993</v>
      </c>
      <c r="BE40" s="152" t="s">
        <v>88</v>
      </c>
      <c r="BF40" s="43">
        <f t="shared" si="231"/>
        <v>0</v>
      </c>
      <c r="BG40" s="43"/>
      <c r="BH40" s="43">
        <f t="shared" si="232"/>
        <v>0</v>
      </c>
      <c r="BJ40" s="43">
        <f t="shared" si="233"/>
        <v>0</v>
      </c>
      <c r="BL40" s="43">
        <f t="shared" si="234"/>
        <v>-5021551.519775115</v>
      </c>
      <c r="BN40" s="43">
        <f t="shared" si="235"/>
        <v>35400</v>
      </c>
      <c r="BP40" s="43">
        <f t="shared" si="236"/>
        <v>-4986151.519775115</v>
      </c>
      <c r="BS40" s="152" t="s">
        <v>88</v>
      </c>
      <c r="BT40" s="43">
        <f t="shared" si="158"/>
        <v>0</v>
      </c>
      <c r="BU40" s="43"/>
      <c r="BV40" s="43">
        <f t="shared" si="158"/>
        <v>0</v>
      </c>
      <c r="BX40" s="43">
        <f t="shared" si="158"/>
        <v>0</v>
      </c>
      <c r="BZ40" s="43">
        <f t="shared" si="158"/>
        <v>-3541950.3065813901</v>
      </c>
      <c r="CB40" s="43">
        <f t="shared" si="158"/>
        <v>35399.995434832759</v>
      </c>
      <c r="CD40" s="43">
        <f t="shared" si="237"/>
        <v>-3506550.3111465573</v>
      </c>
      <c r="CG40" s="152" t="s">
        <v>88</v>
      </c>
      <c r="CH40" s="43">
        <f t="shared" si="159"/>
        <v>0</v>
      </c>
      <c r="CI40" s="43"/>
      <c r="CJ40" s="43">
        <f t="shared" si="159"/>
        <v>0</v>
      </c>
      <c r="CL40" s="43">
        <f t="shared" si="159"/>
        <v>0</v>
      </c>
      <c r="CN40" s="43">
        <f t="shared" si="159"/>
        <v>-2665493.4423818337</v>
      </c>
      <c r="CP40" s="43">
        <f t="shared" si="159"/>
        <v>35400.004565167241</v>
      </c>
      <c r="CR40" s="43">
        <f t="shared" si="238"/>
        <v>-2630093.4378166664</v>
      </c>
      <c r="CU40" s="152" t="s">
        <v>88</v>
      </c>
      <c r="CV40" s="43">
        <f t="shared" si="160"/>
        <v>0</v>
      </c>
      <c r="CW40" s="43"/>
      <c r="CX40" s="43">
        <f t="shared" si="160"/>
        <v>0</v>
      </c>
      <c r="CZ40" s="43">
        <f t="shared" ref="CZ40" si="297">CZ14</f>
        <v>0</v>
      </c>
      <c r="DB40" s="43">
        <f t="shared" ref="DB40" si="298">DB14</f>
        <v>-4468985.7421833333</v>
      </c>
      <c r="DD40" s="43">
        <f t="shared" ref="DD40" si="299">DD14</f>
        <v>35400</v>
      </c>
      <c r="DF40" s="43">
        <f t="shared" si="242"/>
        <v>-4433585.7421833333</v>
      </c>
      <c r="DI40" s="152" t="s">
        <v>88</v>
      </c>
      <c r="DJ40" s="43">
        <f t="shared" si="243"/>
        <v>0</v>
      </c>
      <c r="DK40" s="43"/>
      <c r="DL40" s="43">
        <f t="shared" si="243"/>
        <v>0</v>
      </c>
      <c r="DN40" s="43">
        <f t="shared" si="243"/>
        <v>0</v>
      </c>
      <c r="DP40" s="43">
        <f t="shared" si="243"/>
        <v>-4999593.2300752196</v>
      </c>
      <c r="DR40" s="43">
        <f t="shared" si="243"/>
        <v>38032.495237667114</v>
      </c>
      <c r="DT40" s="43">
        <f t="shared" si="244"/>
        <v>-4961560.7348375525</v>
      </c>
      <c r="DW40" s="152" t="s">
        <v>88</v>
      </c>
      <c r="DX40" s="43">
        <f t="shared" si="164"/>
        <v>0</v>
      </c>
      <c r="DY40" s="43"/>
      <c r="DZ40" s="43">
        <f t="shared" si="164"/>
        <v>0</v>
      </c>
      <c r="EB40" s="43">
        <f t="shared" si="164"/>
        <v>0</v>
      </c>
      <c r="ED40" s="43">
        <f t="shared" si="164"/>
        <v>-3334928.7603314482</v>
      </c>
      <c r="EF40" s="43">
        <f t="shared" si="164"/>
        <v>38910</v>
      </c>
      <c r="EH40" s="43">
        <f t="shared" si="245"/>
        <v>-3296018.7603314482</v>
      </c>
      <c r="EK40" s="152" t="s">
        <v>88</v>
      </c>
      <c r="EL40" s="43">
        <f t="shared" si="165"/>
        <v>0</v>
      </c>
      <c r="EM40" s="43"/>
      <c r="EN40" s="43">
        <f t="shared" si="165"/>
        <v>0</v>
      </c>
      <c r="EP40" s="43">
        <f t="shared" si="165"/>
        <v>0</v>
      </c>
      <c r="ER40" s="43">
        <f t="shared" si="165"/>
        <v>-2770344.9648309993</v>
      </c>
      <c r="ET40" s="43">
        <f t="shared" si="165"/>
        <v>33787.5</v>
      </c>
      <c r="EV40" s="43">
        <f t="shared" si="246"/>
        <v>-2736557.4648309993</v>
      </c>
      <c r="EY40" s="152" t="s">
        <v>88</v>
      </c>
      <c r="EZ40" s="43">
        <f t="shared" ref="EZ40:FB40" si="300">EZ14</f>
        <v>0</v>
      </c>
      <c r="FA40" s="43"/>
      <c r="FB40" s="43">
        <f t="shared" si="300"/>
        <v>0</v>
      </c>
      <c r="FD40" s="43">
        <f t="shared" ref="FD40" si="301">FD14</f>
        <v>0</v>
      </c>
      <c r="FF40" s="43">
        <f t="shared" ref="FF40" si="302">FF14</f>
        <v>-2692651.96</v>
      </c>
      <c r="FH40" s="43">
        <f t="shared" ref="FH40" si="303">FH14</f>
        <v>31665</v>
      </c>
      <c r="FJ40" s="43">
        <f t="shared" si="251"/>
        <v>-2660986.96</v>
      </c>
      <c r="FM40" s="152" t="s">
        <v>88</v>
      </c>
      <c r="FN40" s="43">
        <f t="shared" si="252"/>
        <v>0</v>
      </c>
      <c r="FO40" s="43"/>
      <c r="FP40" s="43">
        <f t="shared" si="170"/>
        <v>0</v>
      </c>
      <c r="FR40" s="43">
        <f t="shared" si="171"/>
        <v>0</v>
      </c>
      <c r="FT40" s="43">
        <f t="shared" si="172"/>
        <v>-2833851.964230001</v>
      </c>
      <c r="FV40" s="43">
        <f t="shared" si="173"/>
        <v>246192.64000000004</v>
      </c>
      <c r="FX40" s="43">
        <f t="shared" si="253"/>
        <v>-2587659.3242300008</v>
      </c>
      <c r="GA40" s="152" t="s">
        <v>88</v>
      </c>
      <c r="GB40" s="43">
        <f t="shared" si="174"/>
        <v>0</v>
      </c>
      <c r="GC40" s="43"/>
      <c r="GD40" s="43">
        <f t="shared" si="175"/>
        <v>0</v>
      </c>
      <c r="GF40" s="43">
        <f t="shared" si="176"/>
        <v>0</v>
      </c>
      <c r="GH40" s="43">
        <f t="shared" si="177"/>
        <v>-2624351.8678303314</v>
      </c>
      <c r="GJ40" s="43">
        <f t="shared" si="178"/>
        <v>-28279.05166550001</v>
      </c>
      <c r="GL40" s="43">
        <f t="shared" si="254"/>
        <v>-2652630.9194958312</v>
      </c>
      <c r="GO40" s="152" t="s">
        <v>88</v>
      </c>
      <c r="GP40" s="43">
        <f t="shared" si="179"/>
        <v>0</v>
      </c>
      <c r="GQ40" s="43"/>
      <c r="GR40" s="43">
        <f t="shared" si="180"/>
        <v>0</v>
      </c>
      <c r="GT40" s="43">
        <f t="shared" si="181"/>
        <v>0</v>
      </c>
      <c r="GV40" s="43">
        <f t="shared" si="182"/>
        <v>-2358389.308857</v>
      </c>
      <c r="GX40" s="43">
        <f t="shared" si="183"/>
        <v>113766.5216655</v>
      </c>
      <c r="GZ40" s="43">
        <f t="shared" si="255"/>
        <v>-2244622.7871915</v>
      </c>
      <c r="HC40" s="152" t="s">
        <v>88</v>
      </c>
      <c r="HD40" s="43">
        <f>HD14</f>
        <v>0</v>
      </c>
      <c r="HE40" s="43"/>
      <c r="HF40" s="43">
        <f>HF14</f>
        <v>0</v>
      </c>
      <c r="HH40" s="43">
        <f>HH14</f>
        <v>0</v>
      </c>
      <c r="HJ40" s="43">
        <f>HJ14</f>
        <v>-2063855.77</v>
      </c>
      <c r="HL40" s="43">
        <f>HL14</f>
        <v>28879.300000000003</v>
      </c>
      <c r="HN40" s="43">
        <f t="shared" si="261"/>
        <v>-2034976.47</v>
      </c>
      <c r="HQ40" s="152" t="s">
        <v>88</v>
      </c>
      <c r="HR40" s="43">
        <f t="shared" si="184"/>
        <v>0</v>
      </c>
      <c r="HS40" s="43"/>
      <c r="HT40" s="43">
        <f t="shared" si="185"/>
        <v>0</v>
      </c>
      <c r="HV40" s="43">
        <f t="shared" si="186"/>
        <v>0</v>
      </c>
      <c r="HX40" s="43">
        <f t="shared" si="187"/>
        <v>-1780284.4699999997</v>
      </c>
      <c r="HZ40" s="43">
        <f t="shared" si="188"/>
        <v>36017.87000000001</v>
      </c>
      <c r="IB40" s="43">
        <f t="shared" si="262"/>
        <v>-1744266.5999999996</v>
      </c>
      <c r="IE40" s="152" t="s">
        <v>88</v>
      </c>
      <c r="IF40" s="43">
        <f t="shared" si="189"/>
        <v>0</v>
      </c>
      <c r="IG40" s="43"/>
      <c r="IH40" s="43">
        <f t="shared" si="189"/>
        <v>0</v>
      </c>
      <c r="IJ40" s="43">
        <f t="shared" si="189"/>
        <v>0</v>
      </c>
      <c r="IL40" s="43">
        <f t="shared" si="189"/>
        <v>-1624335.1799999997</v>
      </c>
      <c r="IN40" s="43">
        <f t="shared" si="189"/>
        <v>36895.369999999995</v>
      </c>
      <c r="IP40" s="43">
        <f t="shared" si="263"/>
        <v>-1587439.8099999996</v>
      </c>
      <c r="IS40" s="152" t="s">
        <v>88</v>
      </c>
      <c r="IT40" s="43">
        <f t="shared" si="190"/>
        <v>0</v>
      </c>
      <c r="IU40" s="43"/>
      <c r="IV40" s="43">
        <f t="shared" si="191"/>
        <v>0</v>
      </c>
      <c r="IX40" s="43">
        <f t="shared" si="192"/>
        <v>0</v>
      </c>
      <c r="IZ40" s="43">
        <f t="shared" si="193"/>
        <v>-1793906.4500000002</v>
      </c>
      <c r="JB40" s="43">
        <f t="shared" si="194"/>
        <v>28997.870000000003</v>
      </c>
      <c r="JD40" s="43">
        <f t="shared" si="264"/>
        <v>-1764908.58</v>
      </c>
      <c r="JG40" s="152" t="s">
        <v>88</v>
      </c>
      <c r="JH40" s="43">
        <f>JH14</f>
        <v>0</v>
      </c>
      <c r="JI40" s="43"/>
      <c r="JJ40" s="43">
        <f>JJ14</f>
        <v>0</v>
      </c>
      <c r="JL40" s="43">
        <f>JL14</f>
        <v>0</v>
      </c>
      <c r="JN40" s="43">
        <f>JN14</f>
        <v>-1722764.5</v>
      </c>
      <c r="JP40" s="43">
        <f>JP14</f>
        <v>38425.370000000003</v>
      </c>
      <c r="JR40" s="43">
        <f t="shared" si="269"/>
        <v>-1684339.13</v>
      </c>
      <c r="JU40" s="152" t="s">
        <v>88</v>
      </c>
      <c r="JV40" s="43">
        <f t="shared" si="195"/>
        <v>0</v>
      </c>
      <c r="JW40" s="43"/>
      <c r="JX40" s="43">
        <f t="shared" si="196"/>
        <v>0</v>
      </c>
      <c r="JZ40" s="43">
        <f t="shared" si="197"/>
        <v>0</v>
      </c>
      <c r="KB40" s="43">
        <f t="shared" si="198"/>
        <v>-1735674.5299999993</v>
      </c>
      <c r="KD40" s="43">
        <f t="shared" si="199"/>
        <v>43352.87000000001</v>
      </c>
      <c r="KF40" s="43">
        <f t="shared" si="270"/>
        <v>-1692321.6599999992</v>
      </c>
      <c r="KI40" s="152" t="s">
        <v>88</v>
      </c>
      <c r="KJ40" s="43">
        <f t="shared" si="200"/>
        <v>0</v>
      </c>
      <c r="KK40" s="43"/>
      <c r="KL40" s="43">
        <f t="shared" si="201"/>
        <v>0</v>
      </c>
      <c r="KN40" s="43">
        <f t="shared" si="202"/>
        <v>0</v>
      </c>
      <c r="KP40" s="43">
        <f t="shared" si="203"/>
        <v>-1423540.4100000001</v>
      </c>
      <c r="KR40" s="43">
        <f t="shared" si="204"/>
        <v>40180.369999999995</v>
      </c>
      <c r="KT40" s="43">
        <f t="shared" si="205"/>
        <v>-1383360.04</v>
      </c>
      <c r="KW40" s="152" t="s">
        <v>88</v>
      </c>
      <c r="KX40" s="43">
        <f t="shared" si="271"/>
        <v>0</v>
      </c>
      <c r="KY40" s="43"/>
      <c r="KZ40" s="43">
        <f t="shared" si="272"/>
        <v>0</v>
      </c>
      <c r="LB40" s="43">
        <f t="shared" si="273"/>
        <v>0</v>
      </c>
      <c r="LD40" s="43">
        <f t="shared" si="274"/>
        <v>-1837277.5700000003</v>
      </c>
      <c r="LF40" s="43">
        <f t="shared" si="206"/>
        <v>45332.87</v>
      </c>
      <c r="LH40" s="43">
        <f t="shared" si="207"/>
        <v>-1791944.7000000002</v>
      </c>
      <c r="LJ40" s="152" t="s">
        <v>88</v>
      </c>
      <c r="LK40" s="43">
        <f t="shared" si="208"/>
        <v>0</v>
      </c>
      <c r="LL40" s="43"/>
      <c r="LM40" s="43">
        <f t="shared" si="209"/>
        <v>0</v>
      </c>
      <c r="LO40" s="43">
        <f t="shared" si="210"/>
        <v>0</v>
      </c>
      <c r="LP40" s="164"/>
      <c r="LQ40" s="43">
        <f t="shared" si="211"/>
        <v>-1889511</v>
      </c>
      <c r="LS40" s="43">
        <f t="shared" si="212"/>
        <v>37660.370000000003</v>
      </c>
      <c r="LU40" s="43">
        <f t="shared" si="275"/>
        <v>-1851850.63</v>
      </c>
      <c r="LW40" s="152" t="s">
        <v>88</v>
      </c>
      <c r="LX40" s="43">
        <f t="shared" si="213"/>
        <v>0</v>
      </c>
      <c r="LY40" s="43"/>
      <c r="LZ40" s="43">
        <f t="shared" si="213"/>
        <v>0</v>
      </c>
      <c r="MB40" s="43">
        <f t="shared" si="213"/>
        <v>0</v>
      </c>
      <c r="MD40" s="43">
        <f t="shared" si="213"/>
        <v>-3134322.7700000014</v>
      </c>
      <c r="MF40" s="43">
        <f t="shared" si="213"/>
        <v>56053.25</v>
      </c>
      <c r="MH40" s="43">
        <f t="shared" si="276"/>
        <v>-3078269.5200000014</v>
      </c>
      <c r="MK40" s="152" t="s">
        <v>88</v>
      </c>
      <c r="ML40" s="43">
        <f t="shared" si="214"/>
        <v>0</v>
      </c>
      <c r="MM40" s="43"/>
      <c r="MN40" s="43">
        <f t="shared" si="215"/>
        <v>0</v>
      </c>
      <c r="MP40" s="43">
        <f t="shared" si="216"/>
        <v>0</v>
      </c>
      <c r="MR40" s="43">
        <f t="shared" si="217"/>
        <v>-1974208.2699999996</v>
      </c>
      <c r="MT40" s="43">
        <f t="shared" si="218"/>
        <v>83775</v>
      </c>
      <c r="MV40" s="43">
        <f t="shared" si="219"/>
        <v>-1890433.2699999996</v>
      </c>
      <c r="MY40" s="152" t="s">
        <v>88</v>
      </c>
      <c r="MZ40" s="43">
        <f t="shared" si="277"/>
        <v>0</v>
      </c>
      <c r="NA40" s="43"/>
      <c r="NB40" s="43">
        <f t="shared" si="278"/>
        <v>0</v>
      </c>
      <c r="ND40" s="43">
        <f t="shared" si="279"/>
        <v>0</v>
      </c>
      <c r="NF40" s="43">
        <f t="shared" si="220"/>
        <v>-2263313.44</v>
      </c>
      <c r="NH40" s="43">
        <f t="shared" si="220"/>
        <v>54112.5</v>
      </c>
      <c r="NJ40" s="43">
        <f t="shared" si="221"/>
        <v>-2209200.94</v>
      </c>
      <c r="NL40" s="152" t="s">
        <v>88</v>
      </c>
      <c r="NM40" s="43">
        <f>NM14</f>
        <v>0</v>
      </c>
      <c r="NN40" s="43"/>
      <c r="NO40" s="43">
        <f>NO14</f>
        <v>0</v>
      </c>
      <c r="NQ40" s="43">
        <f t="shared" si="222"/>
        <v>0</v>
      </c>
      <c r="NR40" s="164"/>
      <c r="NS40" s="43">
        <f t="shared" si="223"/>
        <v>-2110905.8800000004</v>
      </c>
      <c r="NU40" s="43">
        <f t="shared" si="224"/>
        <v>0</v>
      </c>
      <c r="NW40" s="43">
        <f t="shared" si="225"/>
        <v>-2110905.8800000004</v>
      </c>
      <c r="NY40" s="59" t="s">
        <v>88</v>
      </c>
      <c r="NZ40" s="43">
        <f t="shared" ref="NZ40:NZ43" si="304">NZ14-OM14</f>
        <v>0</v>
      </c>
      <c r="OA40" s="43"/>
      <c r="OB40" s="43">
        <f t="shared" ref="OB40:OB43" si="305">OB14-OO14</f>
        <v>0</v>
      </c>
      <c r="OD40" s="43">
        <v>0</v>
      </c>
      <c r="OF40" s="43">
        <v>-1588653.4000000032</v>
      </c>
      <c r="OG40" s="43">
        <f t="shared" si="226"/>
        <v>0</v>
      </c>
      <c r="OH40" s="43">
        <v>-43653.129999999976</v>
      </c>
      <c r="OJ40" s="43">
        <f t="shared" si="134"/>
        <v>-1632306.5300000031</v>
      </c>
      <c r="OL40" s="59" t="s">
        <v>88</v>
      </c>
      <c r="OM40" s="43"/>
      <c r="ON40" s="43"/>
      <c r="OO40" s="43">
        <f>OO14-PB14</f>
        <v>0</v>
      </c>
      <c r="OQ40" s="130">
        <f>OQ14-PD14</f>
        <v>0</v>
      </c>
      <c r="OS40" s="43">
        <f>OS14-PF14</f>
        <v>-1894368.1099999994</v>
      </c>
      <c r="OU40" s="43">
        <f>OU14-PH14</f>
        <v>-3826.8700000000244</v>
      </c>
      <c r="OW40" s="43">
        <f t="shared" si="135"/>
        <v>-1898194.9799999995</v>
      </c>
      <c r="OY40" s="152" t="s">
        <v>88</v>
      </c>
      <c r="OZ40" s="43"/>
      <c r="PA40" s="43"/>
      <c r="PB40" s="43">
        <f>PB14-PO14</f>
        <v>0</v>
      </c>
      <c r="PD40" s="130">
        <f>PD14-PQ14</f>
        <v>0</v>
      </c>
      <c r="PF40" s="43">
        <f>PF14-PS14</f>
        <v>-1689124.2499999991</v>
      </c>
      <c r="PH40" s="43">
        <f>PH14-PU14</f>
        <v>-40510.800000000003</v>
      </c>
      <c r="PJ40" s="43">
        <f t="shared" si="227"/>
        <v>-1729635.0499999991</v>
      </c>
      <c r="PL40" s="59" t="s">
        <v>88</v>
      </c>
      <c r="PM40" s="43"/>
      <c r="PN40" s="43"/>
      <c r="PO40" s="43">
        <f>PO14-QB14</f>
        <v>0</v>
      </c>
      <c r="PQ40" s="130">
        <v>0</v>
      </c>
      <c r="PS40" s="43">
        <f>PS14-QF14</f>
        <v>-1854741.21</v>
      </c>
      <c r="PU40" s="43">
        <f>PU14-QH14</f>
        <v>21900</v>
      </c>
      <c r="PW40" s="43">
        <f t="shared" si="136"/>
        <v>-1832841.21</v>
      </c>
      <c r="PY40" s="59" t="s">
        <v>88</v>
      </c>
      <c r="PZ40" s="43"/>
      <c r="QA40" s="43"/>
      <c r="QB40" s="43">
        <f>QB14-QO14</f>
        <v>0</v>
      </c>
      <c r="QD40" s="43">
        <f>QD14-QQ14</f>
        <v>0</v>
      </c>
      <c r="QF40" s="43">
        <f>QF14-QS14</f>
        <v>-1504228.15</v>
      </c>
      <c r="QH40" s="43">
        <f>QH14-QU14</f>
        <v>21900</v>
      </c>
      <c r="QJ40" s="43">
        <f t="shared" si="137"/>
        <v>-1482328.15</v>
      </c>
      <c r="QL40" s="59" t="s">
        <v>88</v>
      </c>
      <c r="QM40" s="43"/>
      <c r="QN40" s="43"/>
      <c r="QO40" s="43">
        <f>QO14-RB14</f>
        <v>0</v>
      </c>
      <c r="QQ40" s="43">
        <f>QQ14-RD14</f>
        <v>0</v>
      </c>
      <c r="QS40" s="43">
        <f>QS14-RF14</f>
        <v>-1816273.9999999998</v>
      </c>
      <c r="QU40" s="43">
        <f>QU14-RH14</f>
        <v>22086.800000000003</v>
      </c>
      <c r="QW40" s="43">
        <f t="shared" si="138"/>
        <v>-1794187.1999999997</v>
      </c>
      <c r="QY40" s="59" t="s">
        <v>88</v>
      </c>
      <c r="QZ40" s="43"/>
      <c r="RA40" s="43"/>
      <c r="RD40" s="43">
        <f>RD14</f>
        <v>0</v>
      </c>
      <c r="RF40" s="43">
        <f>RF14</f>
        <v>-1745142.86</v>
      </c>
      <c r="RH40" s="43">
        <f>RH14</f>
        <v>22104</v>
      </c>
      <c r="RJ40" s="43">
        <f t="shared" si="139"/>
        <v>-1723038.86</v>
      </c>
      <c r="RL40" s="59" t="s">
        <v>88</v>
      </c>
      <c r="RM40" s="43"/>
      <c r="RN40" s="43"/>
      <c r="RO40" s="43">
        <f>RO14-SB14</f>
        <v>0</v>
      </c>
      <c r="RQ40" s="43">
        <f>RQ14-SD14</f>
        <v>0</v>
      </c>
      <c r="RS40" s="43">
        <f>RS14-SF14</f>
        <v>-1613258.13</v>
      </c>
      <c r="RU40" s="43">
        <f>RU14-SH14</f>
        <v>23441.600000000006</v>
      </c>
      <c r="RW40" s="43">
        <f t="shared" si="140"/>
        <v>-1589816.5299999998</v>
      </c>
      <c r="RY40" s="59" t="s">
        <v>88</v>
      </c>
      <c r="RZ40" s="43"/>
      <c r="SA40" s="43"/>
      <c r="SB40" s="43">
        <f>SB14-SO14</f>
        <v>0</v>
      </c>
      <c r="SD40" s="43">
        <f>SD14-SQ14</f>
        <v>0</v>
      </c>
      <c r="SF40" s="43">
        <f>SF14-SS14</f>
        <v>-1948546.8900000001</v>
      </c>
      <c r="SH40" s="43">
        <f>SH14-SU14</f>
        <v>22104</v>
      </c>
      <c r="SJ40" s="43">
        <f t="shared" si="141"/>
        <v>-1926442.8900000001</v>
      </c>
      <c r="SL40" s="59" t="s">
        <v>88</v>
      </c>
      <c r="SM40" s="43"/>
      <c r="SN40" s="43"/>
      <c r="SO40" s="43">
        <f>SO14-TB14</f>
        <v>0</v>
      </c>
      <c r="SQ40" s="43">
        <f>SQ14-TD14</f>
        <v>0</v>
      </c>
      <c r="SS40" s="43">
        <f>SS14-TF14</f>
        <v>-1986156.23</v>
      </c>
      <c r="SU40" s="43">
        <f>SU14-TH14</f>
        <v>21535.119999999999</v>
      </c>
      <c r="SW40" s="43">
        <f t="shared" si="142"/>
        <v>-1964621.1099999999</v>
      </c>
      <c r="SY40" s="59" t="s">
        <v>88</v>
      </c>
      <c r="SZ40" s="43"/>
      <c r="TA40" s="43"/>
      <c r="TB40" s="43">
        <f>TB14-TO14</f>
        <v>0</v>
      </c>
      <c r="TD40" s="43">
        <f>TD14</f>
        <v>0</v>
      </c>
      <c r="TF40" s="43">
        <f>TF14</f>
        <v>-1530594.67</v>
      </c>
      <c r="TH40" s="43">
        <f>TH14</f>
        <v>22414.44</v>
      </c>
      <c r="TJ40" s="43">
        <f t="shared" si="143"/>
        <v>-1508180.23</v>
      </c>
      <c r="TL40" s="59" t="s">
        <v>88</v>
      </c>
      <c r="TM40" s="43"/>
      <c r="TN40" s="43"/>
      <c r="TO40" s="43">
        <f>TO14-UB14</f>
        <v>0</v>
      </c>
      <c r="TQ40" s="43">
        <f>TQ14-UD14</f>
        <v>0</v>
      </c>
      <c r="TS40" s="43">
        <f>TS14-UF14</f>
        <v>-1560540</v>
      </c>
      <c r="TU40" s="43">
        <f>TU14-UH14</f>
        <v>21948.960000000196</v>
      </c>
      <c r="TW40" s="43">
        <f t="shared" si="144"/>
        <v>-1538591.0399999998</v>
      </c>
      <c r="TY40" s="59" t="s">
        <v>88</v>
      </c>
      <c r="TZ40" s="43"/>
      <c r="UA40" s="43"/>
      <c r="UB40" s="43">
        <f>UB14-UO14</f>
        <v>0</v>
      </c>
      <c r="UD40" s="43">
        <f>UD14-UQ14</f>
        <v>0</v>
      </c>
      <c r="UF40" s="43">
        <f>UF14-US14</f>
        <v>-1668521.1799999997</v>
      </c>
      <c r="UH40" s="43">
        <f>UH14-UU14</f>
        <v>22317.320000000007</v>
      </c>
      <c r="UJ40" s="43">
        <f t="shared" si="145"/>
        <v>-1646203.8599999996</v>
      </c>
      <c r="UL40" s="59" t="s">
        <v>88</v>
      </c>
      <c r="UM40" s="43"/>
      <c r="UN40" s="43"/>
      <c r="UO40" s="43">
        <f>UO14-VB14</f>
        <v>0</v>
      </c>
      <c r="UQ40" s="43">
        <f>UQ14-VD14</f>
        <v>0</v>
      </c>
      <c r="US40" s="43">
        <f>US14-VF14</f>
        <v>-1638055.26</v>
      </c>
      <c r="UU40" s="43">
        <f>UU14-VH14</f>
        <v>22465.629999999997</v>
      </c>
      <c r="UW40" s="43">
        <f t="shared" si="146"/>
        <v>-1615589.6300000001</v>
      </c>
      <c r="UY40" s="59" t="s">
        <v>88</v>
      </c>
      <c r="UZ40" s="43"/>
      <c r="VA40" s="43"/>
      <c r="VB40" s="43">
        <f>VB14-VO14</f>
        <v>0</v>
      </c>
      <c r="VD40" s="43">
        <f>VD14</f>
        <v>0</v>
      </c>
      <c r="VF40" s="43">
        <f>VF14</f>
        <v>-1607252.86</v>
      </c>
      <c r="VH40" s="43">
        <f>VH14</f>
        <v>22539.79</v>
      </c>
      <c r="VJ40" s="43">
        <f t="shared" si="147"/>
        <v>-1584713.07</v>
      </c>
      <c r="VL40" s="59" t="s">
        <v>88</v>
      </c>
      <c r="VM40" s="43"/>
      <c r="VN40" s="43"/>
      <c r="VO40" s="43">
        <f>VO14-WB14</f>
        <v>0</v>
      </c>
      <c r="VQ40" s="43">
        <f>VQ14-WD14</f>
        <v>0</v>
      </c>
      <c r="VS40" s="43">
        <f>VS14-WF14</f>
        <v>-2226070.16</v>
      </c>
      <c r="VU40" s="43">
        <f>VU14-WH14</f>
        <v>10930.77</v>
      </c>
      <c r="VW40" s="43">
        <f t="shared" si="148"/>
        <v>-2215139.39</v>
      </c>
      <c r="VY40" s="59" t="s">
        <v>88</v>
      </c>
      <c r="VZ40" s="43"/>
      <c r="WA40" s="43"/>
      <c r="WB40" s="43">
        <f>WB14-WO14</f>
        <v>0</v>
      </c>
      <c r="WD40" s="43">
        <f>WD14-WQ14</f>
        <v>0</v>
      </c>
      <c r="WF40" s="43">
        <f>WF14-WS14</f>
        <v>-1179228.71</v>
      </c>
      <c r="WH40" s="43">
        <f>WH14-WU14</f>
        <v>1652.49999999992</v>
      </c>
      <c r="WJ40" s="43">
        <f t="shared" si="149"/>
        <v>-1177576.21</v>
      </c>
      <c r="WL40" s="59" t="s">
        <v>88</v>
      </c>
      <c r="WM40" s="43"/>
      <c r="WN40" s="43"/>
      <c r="WO40" s="43">
        <f>WO14-XB14</f>
        <v>0</v>
      </c>
      <c r="WQ40" s="43">
        <f>WQ14-XD14</f>
        <v>0</v>
      </c>
      <c r="WS40" s="43">
        <f>WS14-XF14</f>
        <v>-1677172.34</v>
      </c>
      <c r="WU40" s="43">
        <f>WU14-XH14</f>
        <v>1652.00000000008</v>
      </c>
      <c r="WW40" s="43">
        <f t="shared" si="150"/>
        <v>-1675520.34</v>
      </c>
      <c r="WY40" s="59" t="s">
        <v>88</v>
      </c>
      <c r="WZ40" s="43"/>
      <c r="XA40" s="43"/>
      <c r="XB40" s="43">
        <f>XB14-XO14</f>
        <v>0</v>
      </c>
      <c r="XD40" s="43">
        <f>XD14</f>
        <v>0</v>
      </c>
      <c r="XF40" s="43">
        <f>XF14</f>
        <v>-1300266.6500000001</v>
      </c>
      <c r="XH40" s="43">
        <f>XH14</f>
        <v>1653</v>
      </c>
      <c r="XJ40" s="43">
        <f t="shared" si="151"/>
        <v>-1298613.6500000001</v>
      </c>
      <c r="XL40" s="59" t="s">
        <v>88</v>
      </c>
      <c r="XM40" s="43"/>
      <c r="XN40" s="43"/>
      <c r="XO40" s="43">
        <f>XO14-YB14</f>
        <v>0</v>
      </c>
      <c r="XQ40" s="43">
        <f>XQ14-YD14</f>
        <v>0</v>
      </c>
      <c r="XS40" s="43">
        <f>XS14-YF14</f>
        <v>-2264071.1410312802</v>
      </c>
      <c r="XU40" s="43">
        <f>XU14-YH14</f>
        <v>-14136.200000000199</v>
      </c>
      <c r="XW40" s="43">
        <f t="shared" si="152"/>
        <v>-2278207.3410312803</v>
      </c>
      <c r="XY40" s="59"/>
      <c r="XZ40" s="43"/>
      <c r="YA40" s="43"/>
    </row>
    <row r="41" spans="1:660">
      <c r="A41" s="151" t="s">
        <v>264</v>
      </c>
      <c r="B41" s="43"/>
      <c r="C41" s="43"/>
      <c r="F41" s="43"/>
      <c r="O41" s="151" t="s">
        <v>264</v>
      </c>
      <c r="P41" s="43"/>
      <c r="Q41" s="43"/>
      <c r="T41" s="43"/>
      <c r="AC41" s="151" t="s">
        <v>264</v>
      </c>
      <c r="AD41" s="43"/>
      <c r="AE41" s="43"/>
      <c r="AH41" s="43"/>
      <c r="AQ41" s="151" t="s">
        <v>264</v>
      </c>
      <c r="AR41" s="43">
        <f t="shared" ref="AR41" si="306">AR15</f>
        <v>0</v>
      </c>
      <c r="AS41" s="43"/>
      <c r="AT41" s="43">
        <f t="shared" ref="AT41" si="307">AT15</f>
        <v>0</v>
      </c>
      <c r="AV41" s="43">
        <f t="shared" si="155"/>
        <v>-4913144.5500000007</v>
      </c>
      <c r="AX41" s="43">
        <f t="shared" si="156"/>
        <v>0</v>
      </c>
      <c r="AZ41" s="43">
        <f t="shared" si="157"/>
        <v>0</v>
      </c>
      <c r="BB41" s="43">
        <f t="shared" si="230"/>
        <v>-4913144.5500000007</v>
      </c>
      <c r="BE41" s="151" t="s">
        <v>264</v>
      </c>
      <c r="BF41" s="43">
        <f t="shared" si="231"/>
        <v>0</v>
      </c>
      <c r="BG41" s="43"/>
      <c r="BH41" s="43">
        <f t="shared" si="232"/>
        <v>0</v>
      </c>
      <c r="BJ41" s="43">
        <f t="shared" si="233"/>
        <v>-5906428.8000000007</v>
      </c>
      <c r="BL41" s="43">
        <f t="shared" si="234"/>
        <v>0</v>
      </c>
      <c r="BN41" s="43">
        <f t="shared" si="235"/>
        <v>0</v>
      </c>
      <c r="BP41" s="43">
        <f t="shared" si="236"/>
        <v>-5906428.8000000007</v>
      </c>
      <c r="BS41" s="151" t="s">
        <v>264</v>
      </c>
      <c r="BT41" s="43">
        <f t="shared" si="158"/>
        <v>0</v>
      </c>
      <c r="BU41" s="43"/>
      <c r="BV41" s="43">
        <f t="shared" si="158"/>
        <v>0</v>
      </c>
      <c r="BX41" s="43">
        <f t="shared" si="158"/>
        <v>-8069667.5800000001</v>
      </c>
      <c r="BZ41" s="43">
        <f t="shared" si="158"/>
        <v>0</v>
      </c>
      <c r="CB41" s="43">
        <f t="shared" si="158"/>
        <v>0</v>
      </c>
      <c r="CD41" s="43">
        <f t="shared" si="237"/>
        <v>-8069667.5800000001</v>
      </c>
      <c r="CG41" s="151" t="s">
        <v>264</v>
      </c>
      <c r="CH41" s="43">
        <f t="shared" si="159"/>
        <v>0</v>
      </c>
      <c r="CI41" s="43"/>
      <c r="CJ41" s="43">
        <f t="shared" si="159"/>
        <v>0</v>
      </c>
      <c r="CL41" s="43">
        <f t="shared" si="159"/>
        <v>-5201126.7299999986</v>
      </c>
      <c r="CN41" s="43">
        <f t="shared" si="159"/>
        <v>0</v>
      </c>
      <c r="CP41" s="43">
        <f t="shared" si="159"/>
        <v>0</v>
      </c>
      <c r="CR41" s="43">
        <f t="shared" si="238"/>
        <v>-5201126.7299999986</v>
      </c>
      <c r="CU41" s="151" t="s">
        <v>264</v>
      </c>
      <c r="CV41" s="43">
        <f t="shared" si="160"/>
        <v>0</v>
      </c>
      <c r="CW41" s="43"/>
      <c r="CX41" s="43">
        <f t="shared" si="160"/>
        <v>0</v>
      </c>
      <c r="CZ41" s="43">
        <f t="shared" ref="CZ41" si="308">CZ15</f>
        <v>-4108606.5500000003</v>
      </c>
      <c r="DB41" s="43">
        <f t="shared" ref="DB41" si="309">DB15</f>
        <v>0</v>
      </c>
      <c r="DD41" s="43">
        <f t="shared" ref="DD41" si="310">DD15</f>
        <v>0</v>
      </c>
      <c r="DF41" s="43">
        <f t="shared" si="242"/>
        <v>-4108606.5500000003</v>
      </c>
      <c r="DI41" s="151" t="s">
        <v>264</v>
      </c>
      <c r="DJ41" s="43">
        <f t="shared" si="243"/>
        <v>0</v>
      </c>
      <c r="DK41" s="43"/>
      <c r="DL41" s="43">
        <f t="shared" si="243"/>
        <v>0</v>
      </c>
      <c r="DN41" s="43">
        <f t="shared" si="243"/>
        <v>-5313877.7699999996</v>
      </c>
      <c r="DP41" s="43">
        <f t="shared" si="243"/>
        <v>0</v>
      </c>
      <c r="DR41" s="43">
        <f t="shared" si="243"/>
        <v>0</v>
      </c>
      <c r="DT41" s="43">
        <f t="shared" si="244"/>
        <v>-5313877.7699999996</v>
      </c>
      <c r="DW41" s="151" t="s">
        <v>264</v>
      </c>
      <c r="DX41" s="43">
        <f t="shared" si="164"/>
        <v>0</v>
      </c>
      <c r="DY41" s="43"/>
      <c r="DZ41" s="43">
        <f t="shared" si="164"/>
        <v>0</v>
      </c>
      <c r="EB41" s="43">
        <f t="shared" si="164"/>
        <v>-4967834.55</v>
      </c>
      <c r="ED41" s="43">
        <f t="shared" si="164"/>
        <v>0</v>
      </c>
      <c r="EF41" s="43">
        <f t="shared" si="164"/>
        <v>526000</v>
      </c>
      <c r="EH41" s="43">
        <f t="shared" si="245"/>
        <v>-4441834.55</v>
      </c>
      <c r="EK41" s="151" t="s">
        <v>264</v>
      </c>
      <c r="EL41" s="43">
        <f t="shared" si="165"/>
        <v>0</v>
      </c>
      <c r="EM41" s="43"/>
      <c r="EN41" s="43">
        <f t="shared" si="165"/>
        <v>0</v>
      </c>
      <c r="EP41" s="43">
        <f t="shared" si="165"/>
        <v>-3976015.52</v>
      </c>
      <c r="ER41" s="43">
        <f t="shared" si="165"/>
        <v>0</v>
      </c>
      <c r="ET41" s="43">
        <f t="shared" si="165"/>
        <v>0</v>
      </c>
      <c r="EV41" s="43">
        <f t="shared" si="246"/>
        <v>-3976015.52</v>
      </c>
      <c r="EY41" s="151" t="s">
        <v>264</v>
      </c>
      <c r="EZ41" s="43">
        <f t="shared" ref="EZ41:FB41" si="311">EZ15</f>
        <v>0</v>
      </c>
      <c r="FA41" s="43"/>
      <c r="FB41" s="43">
        <f t="shared" si="311"/>
        <v>0</v>
      </c>
      <c r="FD41" s="43">
        <f t="shared" ref="FD41" si="312">FD15</f>
        <v>-2250155.8400000003</v>
      </c>
      <c r="FF41" s="43">
        <f t="shared" ref="FF41" si="313">FF15</f>
        <v>0</v>
      </c>
      <c r="FH41" s="43">
        <f t="shared" ref="FH41" si="314">FH15</f>
        <v>0</v>
      </c>
      <c r="FJ41" s="43">
        <f t="shared" si="251"/>
        <v>-2250155.8400000003</v>
      </c>
      <c r="FM41" s="151" t="s">
        <v>264</v>
      </c>
      <c r="FN41" s="43">
        <f t="shared" si="252"/>
        <v>0</v>
      </c>
      <c r="FO41" s="43"/>
      <c r="FP41" s="43">
        <f t="shared" si="170"/>
        <v>0</v>
      </c>
      <c r="FR41" s="43">
        <f t="shared" si="171"/>
        <v>-4300179.4099999992</v>
      </c>
      <c r="FT41" s="43">
        <f t="shared" si="172"/>
        <v>0</v>
      </c>
      <c r="FV41" s="43">
        <f t="shared" si="173"/>
        <v>-18357.489999999998</v>
      </c>
      <c r="FX41" s="43">
        <f t="shared" si="253"/>
        <v>-4318536.8999999994</v>
      </c>
      <c r="GA41" s="151" t="s">
        <v>264</v>
      </c>
      <c r="GB41" s="43">
        <f t="shared" si="174"/>
        <v>0</v>
      </c>
      <c r="GC41" s="43"/>
      <c r="GD41" s="43">
        <f t="shared" si="175"/>
        <v>0</v>
      </c>
      <c r="GF41" s="43">
        <f t="shared" si="176"/>
        <v>-2166124.4500000007</v>
      </c>
      <c r="GH41" s="43">
        <f t="shared" si="177"/>
        <v>0</v>
      </c>
      <c r="GJ41" s="43">
        <f t="shared" si="178"/>
        <v>31710.369999999995</v>
      </c>
      <c r="GL41" s="43">
        <f t="shared" si="254"/>
        <v>-2134414.0800000005</v>
      </c>
      <c r="GO41" s="151" t="s">
        <v>264</v>
      </c>
      <c r="GP41" s="43">
        <f t="shared" si="179"/>
        <v>0</v>
      </c>
      <c r="GQ41" s="43"/>
      <c r="GR41" s="43">
        <f t="shared" si="180"/>
        <v>0</v>
      </c>
      <c r="GT41" s="43">
        <f t="shared" si="181"/>
        <v>-1983635.7999999993</v>
      </c>
      <c r="GV41" s="43">
        <f t="shared" si="182"/>
        <v>0</v>
      </c>
      <c r="GX41" s="43">
        <f t="shared" si="183"/>
        <v>25370.46</v>
      </c>
      <c r="GZ41" s="43">
        <f t="shared" si="255"/>
        <v>-1958265.3399999994</v>
      </c>
      <c r="HC41" s="151" t="s">
        <v>264</v>
      </c>
      <c r="HD41" s="43">
        <f t="shared" ref="HD41" si="315">HD15</f>
        <v>0</v>
      </c>
      <c r="HE41" s="43"/>
      <c r="HF41" s="43">
        <f t="shared" ref="HF41" si="316">HF15</f>
        <v>0</v>
      </c>
      <c r="HH41" s="43">
        <f t="shared" ref="HH41:HH43" si="317">HH15</f>
        <v>-1836818.2000000002</v>
      </c>
      <c r="HJ41" s="43">
        <f t="shared" ref="HJ41:HJ43" si="318">HJ15</f>
        <v>0</v>
      </c>
      <c r="HL41" s="43">
        <f t="shared" ref="HL41:HL43" si="319">HL15</f>
        <v>25370.46</v>
      </c>
      <c r="HN41" s="43">
        <f t="shared" si="261"/>
        <v>-1811447.7400000002</v>
      </c>
      <c r="HQ41" s="151" t="s">
        <v>264</v>
      </c>
      <c r="HR41" s="43">
        <f t="shared" si="184"/>
        <v>0</v>
      </c>
      <c r="HS41" s="43"/>
      <c r="HT41" s="43">
        <f t="shared" si="185"/>
        <v>0</v>
      </c>
      <c r="HV41" s="43">
        <f t="shared" si="186"/>
        <v>-1309454.3400000008</v>
      </c>
      <c r="HX41" s="43">
        <f t="shared" si="187"/>
        <v>0</v>
      </c>
      <c r="HZ41" s="43">
        <f t="shared" si="188"/>
        <v>25370.459999999992</v>
      </c>
      <c r="IB41" s="43">
        <f t="shared" si="262"/>
        <v>-1284083.8800000008</v>
      </c>
      <c r="IE41" s="151" t="s">
        <v>264</v>
      </c>
      <c r="IF41" s="43">
        <f t="shared" si="189"/>
        <v>0</v>
      </c>
      <c r="IG41" s="43"/>
      <c r="IH41" s="43">
        <f t="shared" si="189"/>
        <v>0</v>
      </c>
      <c r="IJ41" s="43">
        <f t="shared" si="189"/>
        <v>-2363909.94</v>
      </c>
      <c r="IL41" s="43">
        <f t="shared" si="189"/>
        <v>0</v>
      </c>
      <c r="IN41" s="43">
        <f t="shared" si="189"/>
        <v>25370.460000000006</v>
      </c>
      <c r="IP41" s="43">
        <f t="shared" si="263"/>
        <v>-2338539.48</v>
      </c>
      <c r="IS41" s="151" t="s">
        <v>264</v>
      </c>
      <c r="IT41" s="43">
        <f t="shared" si="190"/>
        <v>0</v>
      </c>
      <c r="IU41" s="43"/>
      <c r="IV41" s="43">
        <f t="shared" si="191"/>
        <v>0</v>
      </c>
      <c r="IX41" s="43">
        <f t="shared" si="192"/>
        <v>-1384655.4799999997</v>
      </c>
      <c r="IZ41" s="43">
        <f t="shared" si="193"/>
        <v>0</v>
      </c>
      <c r="JB41" s="43">
        <f t="shared" si="194"/>
        <v>25370.46</v>
      </c>
      <c r="JD41" s="43">
        <f t="shared" si="264"/>
        <v>-1359285.0199999998</v>
      </c>
      <c r="JG41" s="151" t="s">
        <v>264</v>
      </c>
      <c r="JH41" s="43">
        <f t="shared" ref="JH41:JJ41" si="320">JH15</f>
        <v>0</v>
      </c>
      <c r="JI41" s="43"/>
      <c r="JJ41" s="43">
        <f t="shared" si="320"/>
        <v>0</v>
      </c>
      <c r="JL41" s="43">
        <f t="shared" ref="JL41" si="321">JL15</f>
        <v>-1185805.8400000001</v>
      </c>
      <c r="JN41" s="43">
        <f t="shared" ref="JN41" si="322">JN15</f>
        <v>0</v>
      </c>
      <c r="JP41" s="43">
        <f t="shared" ref="JP41" si="323">JP15</f>
        <v>25370.46</v>
      </c>
      <c r="JR41" s="43">
        <f t="shared" si="269"/>
        <v>-1160435.3800000001</v>
      </c>
      <c r="JU41" s="151" t="s">
        <v>264</v>
      </c>
      <c r="JV41" s="43">
        <f t="shared" si="195"/>
        <v>0</v>
      </c>
      <c r="JW41" s="43"/>
      <c r="JX41" s="43">
        <f t="shared" si="196"/>
        <v>0</v>
      </c>
      <c r="JZ41" s="43">
        <f t="shared" si="197"/>
        <v>-1117263.1599999992</v>
      </c>
      <c r="KB41" s="43">
        <f t="shared" si="198"/>
        <v>0</v>
      </c>
      <c r="KD41" s="43">
        <f t="shared" si="199"/>
        <v>25370.459999999992</v>
      </c>
      <c r="KF41" s="43">
        <f t="shared" si="270"/>
        <v>-1091892.6999999993</v>
      </c>
      <c r="KI41" s="151" t="s">
        <v>264</v>
      </c>
      <c r="KJ41" s="43">
        <f t="shared" si="200"/>
        <v>0</v>
      </c>
      <c r="KK41" s="43"/>
      <c r="KL41" s="43">
        <f t="shared" si="201"/>
        <v>0</v>
      </c>
      <c r="KN41" s="43">
        <f t="shared" si="202"/>
        <v>-1439363.2000000002</v>
      </c>
      <c r="KP41" s="43">
        <f t="shared" si="203"/>
        <v>0</v>
      </c>
      <c r="KR41" s="43">
        <f t="shared" si="204"/>
        <v>25370.460000000006</v>
      </c>
      <c r="KT41" s="43">
        <f t="shared" si="205"/>
        <v>-1413992.7400000002</v>
      </c>
      <c r="KW41" s="151" t="s">
        <v>264</v>
      </c>
      <c r="KX41" s="43">
        <f t="shared" si="271"/>
        <v>0</v>
      </c>
      <c r="KY41" s="43"/>
      <c r="KZ41" s="43">
        <f t="shared" si="272"/>
        <v>0</v>
      </c>
      <c r="LB41" s="43">
        <f t="shared" si="273"/>
        <v>-1349006.7100000002</v>
      </c>
      <c r="LD41" s="43">
        <f t="shared" si="274"/>
        <v>0</v>
      </c>
      <c r="LF41" s="43">
        <f t="shared" si="206"/>
        <v>25370.46</v>
      </c>
      <c r="LH41" s="43">
        <f t="shared" si="207"/>
        <v>-1323636.2500000002</v>
      </c>
      <c r="LJ41" s="151" t="s">
        <v>264</v>
      </c>
      <c r="LK41" s="43">
        <f t="shared" si="208"/>
        <v>0</v>
      </c>
      <c r="LL41" s="43"/>
      <c r="LM41" s="43">
        <f t="shared" si="209"/>
        <v>0</v>
      </c>
      <c r="LO41" s="43">
        <f t="shared" si="210"/>
        <v>-1415913.57</v>
      </c>
      <c r="LP41" s="164"/>
      <c r="LQ41" s="43">
        <f t="shared" si="211"/>
        <v>0</v>
      </c>
      <c r="LS41" s="43">
        <f t="shared" si="212"/>
        <v>25370.46</v>
      </c>
      <c r="LU41" s="43">
        <f t="shared" si="275"/>
        <v>-1390543.11</v>
      </c>
      <c r="LW41" s="151" t="s">
        <v>264</v>
      </c>
      <c r="LX41" s="43">
        <f t="shared" si="213"/>
        <v>0</v>
      </c>
      <c r="LY41" s="43"/>
      <c r="LZ41" s="43">
        <f t="shared" si="213"/>
        <v>0</v>
      </c>
      <c r="MB41" s="43">
        <f t="shared" si="213"/>
        <v>-1408204.4899999993</v>
      </c>
      <c r="MD41" s="43">
        <f t="shared" si="213"/>
        <v>0</v>
      </c>
      <c r="MF41" s="43">
        <f t="shared" si="213"/>
        <v>26340</v>
      </c>
      <c r="MH41" s="43">
        <f t="shared" si="276"/>
        <v>-1381864.4899999993</v>
      </c>
      <c r="MK41" s="151" t="s">
        <v>264</v>
      </c>
      <c r="ML41" s="43">
        <f t="shared" si="214"/>
        <v>0</v>
      </c>
      <c r="MM41" s="43"/>
      <c r="MN41" s="43">
        <f t="shared" si="215"/>
        <v>0</v>
      </c>
      <c r="MP41" s="43">
        <f t="shared" si="216"/>
        <v>-1224485.9100000001</v>
      </c>
      <c r="MR41" s="43">
        <f t="shared" si="217"/>
        <v>0</v>
      </c>
      <c r="MT41" s="43">
        <f t="shared" si="218"/>
        <v>26340</v>
      </c>
      <c r="MV41" s="43">
        <f t="shared" si="219"/>
        <v>-1198145.9100000001</v>
      </c>
      <c r="MY41" s="151" t="s">
        <v>264</v>
      </c>
      <c r="MZ41" s="43">
        <f t="shared" si="277"/>
        <v>0</v>
      </c>
      <c r="NA41" s="43"/>
      <c r="NB41" s="43">
        <f t="shared" si="278"/>
        <v>0</v>
      </c>
      <c r="ND41" s="43">
        <f t="shared" si="279"/>
        <v>-2986587.02</v>
      </c>
      <c r="NF41" s="43">
        <f t="shared" si="220"/>
        <v>0</v>
      </c>
      <c r="NH41" s="43">
        <f t="shared" si="220"/>
        <v>26340</v>
      </c>
      <c r="NJ41" s="43">
        <f t="shared" si="221"/>
        <v>-2960247.02</v>
      </c>
      <c r="NL41" s="151" t="s">
        <v>264</v>
      </c>
      <c r="NM41" s="43"/>
      <c r="NN41" s="43"/>
      <c r="NQ41" s="43">
        <f t="shared" si="222"/>
        <v>-1543178.23</v>
      </c>
      <c r="NR41" s="164"/>
      <c r="NS41" s="43">
        <f t="shared" si="223"/>
        <v>0</v>
      </c>
      <c r="NU41" s="43">
        <f t="shared" si="224"/>
        <v>26340</v>
      </c>
      <c r="NW41" s="43">
        <f t="shared" si="225"/>
        <v>-1516838.23</v>
      </c>
      <c r="NY41" s="151" t="s">
        <v>264</v>
      </c>
      <c r="NZ41" s="43">
        <f t="shared" si="304"/>
        <v>0</v>
      </c>
      <c r="OA41" s="43"/>
      <c r="OB41" s="43">
        <f t="shared" si="305"/>
        <v>0</v>
      </c>
      <c r="OD41" s="43">
        <v>-1521269.6700000002</v>
      </c>
      <c r="OF41" s="43">
        <v>0</v>
      </c>
      <c r="OH41" s="43">
        <v>26340</v>
      </c>
      <c r="OJ41" s="43">
        <f t="shared" si="134"/>
        <v>-1494929.6700000002</v>
      </c>
      <c r="OL41" s="59"/>
      <c r="OM41" s="43"/>
      <c r="ON41" s="43"/>
      <c r="OQ41" s="130"/>
      <c r="OY41" s="152"/>
      <c r="OZ41" s="43"/>
      <c r="PA41" s="43"/>
      <c r="PD41" s="130"/>
      <c r="PL41" s="59"/>
      <c r="PM41" s="43"/>
      <c r="PN41" s="43"/>
      <c r="PQ41" s="130"/>
      <c r="PY41" s="59"/>
      <c r="PZ41" s="43"/>
      <c r="QA41" s="43"/>
      <c r="QL41" s="59"/>
      <c r="QM41" s="43"/>
      <c r="QN41" s="43"/>
      <c r="QY41" s="59"/>
      <c r="QZ41" s="43"/>
      <c r="RA41" s="43"/>
      <c r="RL41" s="59"/>
      <c r="RM41" s="43"/>
      <c r="RN41" s="43"/>
      <c r="RY41" s="59"/>
      <c r="RZ41" s="43"/>
      <c r="SA41" s="43"/>
      <c r="SL41" s="59"/>
      <c r="SM41" s="43"/>
      <c r="SN41" s="43"/>
      <c r="SY41" s="59"/>
      <c r="SZ41" s="43"/>
      <c r="TA41" s="43"/>
      <c r="TL41" s="59"/>
      <c r="TM41" s="43"/>
      <c r="TN41" s="43"/>
      <c r="TY41" s="59"/>
      <c r="TZ41" s="43"/>
      <c r="UA41" s="43"/>
      <c r="UL41" s="59"/>
      <c r="UM41" s="43"/>
      <c r="UN41" s="43"/>
      <c r="UY41" s="59"/>
      <c r="UZ41" s="43"/>
      <c r="VA41" s="43"/>
      <c r="VL41" s="59"/>
      <c r="VM41" s="43"/>
      <c r="VN41" s="43"/>
      <c r="VY41" s="59"/>
      <c r="VZ41" s="43"/>
      <c r="WA41" s="43"/>
      <c r="WL41" s="59"/>
      <c r="WM41" s="43"/>
      <c r="WN41" s="43"/>
      <c r="WY41" s="59"/>
      <c r="WZ41" s="43"/>
      <c r="XA41" s="43"/>
      <c r="XL41" s="59"/>
      <c r="XM41" s="43"/>
      <c r="XN41" s="43"/>
      <c r="XY41" s="59"/>
      <c r="XZ41" s="43"/>
      <c r="YA41" s="43"/>
    </row>
    <row r="42" spans="1:660">
      <c r="A42" s="152" t="s">
        <v>252</v>
      </c>
      <c r="B42" s="43"/>
      <c r="C42" s="43"/>
      <c r="F42" s="43"/>
      <c r="O42" s="152" t="s">
        <v>252</v>
      </c>
      <c r="P42" s="43"/>
      <c r="Q42" s="43"/>
      <c r="T42" s="43"/>
      <c r="AC42" s="152" t="s">
        <v>252</v>
      </c>
      <c r="AD42" s="43"/>
      <c r="AE42" s="43"/>
      <c r="AH42" s="43"/>
      <c r="AQ42" s="152" t="s">
        <v>252</v>
      </c>
      <c r="AR42" s="43">
        <f t="shared" ref="AR42" si="324">AR16</f>
        <v>0</v>
      </c>
      <c r="AS42" s="43"/>
      <c r="AT42" s="43">
        <f t="shared" ref="AT42" si="325">AT16</f>
        <v>0</v>
      </c>
      <c r="AV42" s="43">
        <f t="shared" si="155"/>
        <v>0</v>
      </c>
      <c r="AX42" s="43">
        <f t="shared" si="156"/>
        <v>0</v>
      </c>
      <c r="AZ42" s="43">
        <f t="shared" si="157"/>
        <v>0</v>
      </c>
      <c r="BB42" s="43">
        <f t="shared" si="230"/>
        <v>0</v>
      </c>
      <c r="BE42" s="152" t="s">
        <v>252</v>
      </c>
      <c r="BF42" s="43">
        <f t="shared" si="231"/>
        <v>0</v>
      </c>
      <c r="BG42" s="43"/>
      <c r="BH42" s="43">
        <f t="shared" si="232"/>
        <v>0</v>
      </c>
      <c r="BJ42" s="43">
        <f t="shared" si="233"/>
        <v>0</v>
      </c>
      <c r="BL42" s="43">
        <f t="shared" si="234"/>
        <v>0</v>
      </c>
      <c r="BN42" s="43">
        <f t="shared" si="235"/>
        <v>0</v>
      </c>
      <c r="BP42" s="43">
        <f t="shared" si="236"/>
        <v>0</v>
      </c>
      <c r="BS42" s="152" t="s">
        <v>252</v>
      </c>
      <c r="BT42" s="43">
        <f t="shared" si="158"/>
        <v>0</v>
      </c>
      <c r="BU42" s="43"/>
      <c r="BV42" s="43">
        <f t="shared" si="158"/>
        <v>0</v>
      </c>
      <c r="BX42" s="43">
        <f t="shared" si="158"/>
        <v>0</v>
      </c>
      <c r="BZ42" s="43">
        <f t="shared" si="158"/>
        <v>0</v>
      </c>
      <c r="CB42" s="43">
        <f t="shared" si="158"/>
        <v>0</v>
      </c>
      <c r="CD42" s="43">
        <f t="shared" si="237"/>
        <v>0</v>
      </c>
      <c r="CG42" s="152" t="s">
        <v>252</v>
      </c>
      <c r="CH42" s="43">
        <f t="shared" si="159"/>
        <v>0</v>
      </c>
      <c r="CI42" s="43"/>
      <c r="CJ42" s="43">
        <f t="shared" si="159"/>
        <v>0</v>
      </c>
      <c r="CL42" s="43">
        <f t="shared" si="159"/>
        <v>0</v>
      </c>
      <c r="CN42" s="43">
        <f t="shared" si="159"/>
        <v>112020.44598566667</v>
      </c>
      <c r="CP42" s="43">
        <f t="shared" si="159"/>
        <v>0</v>
      </c>
      <c r="CR42" s="43">
        <f t="shared" si="238"/>
        <v>112020.44598566667</v>
      </c>
      <c r="CU42" s="152" t="s">
        <v>252</v>
      </c>
      <c r="CV42" s="43">
        <f t="shared" si="160"/>
        <v>0</v>
      </c>
      <c r="CW42" s="43"/>
      <c r="CX42" s="43">
        <f t="shared" si="160"/>
        <v>0</v>
      </c>
      <c r="CZ42" s="43">
        <f t="shared" ref="CZ42" si="326">CZ16</f>
        <v>0</v>
      </c>
      <c r="DB42" s="43">
        <f t="shared" ref="DB42" si="327">DB16</f>
        <v>-112020.44598566667</v>
      </c>
      <c r="DD42" s="43">
        <f t="shared" ref="DD42" si="328">DD16</f>
        <v>0</v>
      </c>
      <c r="DF42" s="43">
        <f t="shared" si="242"/>
        <v>-112020.44598566667</v>
      </c>
      <c r="DI42" s="152" t="s">
        <v>252</v>
      </c>
      <c r="DJ42" s="43">
        <f t="shared" si="243"/>
        <v>0</v>
      </c>
      <c r="DK42" s="43"/>
      <c r="DL42" s="43">
        <f t="shared" si="243"/>
        <v>0</v>
      </c>
      <c r="DN42" s="43">
        <f t="shared" si="243"/>
        <v>0</v>
      </c>
      <c r="DP42" s="43">
        <f t="shared" si="243"/>
        <v>0</v>
      </c>
      <c r="DR42" s="43">
        <f t="shared" si="243"/>
        <v>0</v>
      </c>
      <c r="DT42" s="43">
        <f t="shared" si="244"/>
        <v>0</v>
      </c>
      <c r="DW42" s="152" t="s">
        <v>252</v>
      </c>
      <c r="DX42" s="43">
        <f t="shared" si="164"/>
        <v>0</v>
      </c>
      <c r="DY42" s="43"/>
      <c r="DZ42" s="43">
        <f t="shared" si="164"/>
        <v>0</v>
      </c>
      <c r="EB42" s="43">
        <f t="shared" si="164"/>
        <v>0</v>
      </c>
      <c r="ED42" s="43">
        <f t="shared" si="164"/>
        <v>0</v>
      </c>
      <c r="EF42" s="43">
        <f t="shared" si="164"/>
        <v>0</v>
      </c>
      <c r="EH42" s="43">
        <f t="shared" si="245"/>
        <v>0</v>
      </c>
      <c r="EK42" s="152" t="s">
        <v>252</v>
      </c>
      <c r="EL42" s="43">
        <f t="shared" si="165"/>
        <v>0</v>
      </c>
      <c r="EM42" s="43"/>
      <c r="EN42" s="43">
        <f t="shared" si="165"/>
        <v>0</v>
      </c>
      <c r="EP42" s="43">
        <f t="shared" si="165"/>
        <v>0</v>
      </c>
      <c r="ER42" s="43">
        <f t="shared" si="165"/>
        <v>0</v>
      </c>
      <c r="ET42" s="43">
        <f t="shared" si="165"/>
        <v>0</v>
      </c>
      <c r="EV42" s="43">
        <f t="shared" si="246"/>
        <v>0</v>
      </c>
      <c r="EY42" s="152" t="s">
        <v>252</v>
      </c>
      <c r="EZ42" s="43">
        <f t="shared" ref="EZ42:FB42" si="329">EZ16</f>
        <v>0</v>
      </c>
      <c r="FA42" s="43"/>
      <c r="FB42" s="43">
        <f t="shared" si="329"/>
        <v>0</v>
      </c>
      <c r="FD42" s="43">
        <f t="shared" ref="FD42" si="330">FD16</f>
        <v>0</v>
      </c>
      <c r="FF42" s="43">
        <f t="shared" ref="FF42" si="331">FF16</f>
        <v>0</v>
      </c>
      <c r="FH42" s="43">
        <f t="shared" ref="FH42" si="332">FH16</f>
        <v>0</v>
      </c>
      <c r="FJ42" s="43">
        <f t="shared" si="251"/>
        <v>0</v>
      </c>
      <c r="FM42" s="152" t="s">
        <v>252</v>
      </c>
      <c r="FN42" s="43">
        <f t="shared" si="252"/>
        <v>0</v>
      </c>
      <c r="FO42" s="43"/>
      <c r="FP42" s="43">
        <f t="shared" si="170"/>
        <v>0</v>
      </c>
      <c r="FR42" s="43">
        <f t="shared" si="171"/>
        <v>0</v>
      </c>
      <c r="FT42" s="43">
        <f t="shared" si="172"/>
        <v>0</v>
      </c>
      <c r="FV42" s="43">
        <f t="shared" si="173"/>
        <v>0</v>
      </c>
      <c r="FX42" s="43">
        <f t="shared" si="253"/>
        <v>0</v>
      </c>
      <c r="GA42" s="152" t="s">
        <v>252</v>
      </c>
      <c r="GB42" s="43">
        <f t="shared" si="174"/>
        <v>0</v>
      </c>
      <c r="GC42" s="43"/>
      <c r="GD42" s="43">
        <f t="shared" si="175"/>
        <v>0</v>
      </c>
      <c r="GF42" s="43">
        <f t="shared" si="176"/>
        <v>0</v>
      </c>
      <c r="GH42" s="43">
        <f t="shared" si="177"/>
        <v>0</v>
      </c>
      <c r="GJ42" s="43">
        <f t="shared" si="178"/>
        <v>0</v>
      </c>
      <c r="GL42" s="43">
        <f t="shared" si="254"/>
        <v>0</v>
      </c>
      <c r="GO42" s="152" t="s">
        <v>252</v>
      </c>
      <c r="GP42" s="43">
        <f t="shared" si="179"/>
        <v>0</v>
      </c>
      <c r="GQ42" s="43"/>
      <c r="GR42" s="43">
        <f t="shared" si="180"/>
        <v>0</v>
      </c>
      <c r="GT42" s="43">
        <f t="shared" si="181"/>
        <v>0</v>
      </c>
      <c r="GV42" s="43">
        <f t="shared" si="182"/>
        <v>5874205.7084021242</v>
      </c>
      <c r="GX42" s="43">
        <f t="shared" si="183"/>
        <v>0</v>
      </c>
      <c r="GZ42" s="43">
        <f t="shared" si="255"/>
        <v>5874205.7084021242</v>
      </c>
      <c r="HC42" s="152" t="s">
        <v>252</v>
      </c>
      <c r="HD42" s="43">
        <f t="shared" ref="HD42" si="333">HD16</f>
        <v>0</v>
      </c>
      <c r="HE42" s="43"/>
      <c r="HF42" s="43">
        <f t="shared" ref="HF42" si="334">HF16</f>
        <v>0</v>
      </c>
      <c r="HH42" s="43">
        <f t="shared" si="317"/>
        <v>0</v>
      </c>
      <c r="HJ42" s="43">
        <f t="shared" si="318"/>
        <v>0</v>
      </c>
      <c r="HL42" s="43">
        <f t="shared" si="319"/>
        <v>0</v>
      </c>
      <c r="HN42" s="43">
        <f t="shared" si="261"/>
        <v>0</v>
      </c>
      <c r="HQ42" s="152" t="s">
        <v>252</v>
      </c>
      <c r="HR42" s="43">
        <f t="shared" si="184"/>
        <v>0</v>
      </c>
      <c r="HS42" s="43"/>
      <c r="HT42" s="43">
        <f t="shared" si="185"/>
        <v>0</v>
      </c>
      <c r="HV42" s="43">
        <f t="shared" si="186"/>
        <v>0</v>
      </c>
      <c r="HX42" s="43">
        <f t="shared" si="187"/>
        <v>0</v>
      </c>
      <c r="HZ42" s="43">
        <f t="shared" si="188"/>
        <v>0</v>
      </c>
      <c r="IB42" s="43">
        <f t="shared" si="262"/>
        <v>0</v>
      </c>
      <c r="IE42" s="152" t="s">
        <v>252</v>
      </c>
      <c r="IF42" s="43">
        <f t="shared" si="189"/>
        <v>0</v>
      </c>
      <c r="IG42" s="43"/>
      <c r="IH42" s="43">
        <f t="shared" si="189"/>
        <v>0</v>
      </c>
      <c r="IJ42" s="43">
        <f t="shared" si="189"/>
        <v>0</v>
      </c>
      <c r="IL42" s="43">
        <f t="shared" si="189"/>
        <v>0</v>
      </c>
      <c r="IN42" s="43">
        <f t="shared" si="189"/>
        <v>0</v>
      </c>
      <c r="IP42" s="43">
        <f t="shared" si="263"/>
        <v>0</v>
      </c>
      <c r="IS42" s="152" t="s">
        <v>252</v>
      </c>
      <c r="IT42" s="43">
        <f t="shared" si="190"/>
        <v>0</v>
      </c>
      <c r="IU42" s="43"/>
      <c r="IV42" s="43">
        <f t="shared" si="191"/>
        <v>0</v>
      </c>
      <c r="IX42" s="43">
        <f t="shared" si="192"/>
        <v>0</v>
      </c>
      <c r="IZ42" s="43">
        <f t="shared" si="193"/>
        <v>0</v>
      </c>
      <c r="JB42" s="43">
        <f t="shared" si="194"/>
        <v>0</v>
      </c>
      <c r="JD42" s="43">
        <f t="shared" si="264"/>
        <v>0</v>
      </c>
      <c r="JG42" s="152" t="s">
        <v>252</v>
      </c>
      <c r="JH42" s="43">
        <f t="shared" ref="JH42:JJ43" si="335">JH16</f>
        <v>0</v>
      </c>
      <c r="JI42" s="43"/>
      <c r="JJ42" s="43">
        <f t="shared" si="335"/>
        <v>0</v>
      </c>
      <c r="JL42" s="43">
        <f t="shared" ref="JL42" si="336">JL16</f>
        <v>0</v>
      </c>
      <c r="JN42" s="43">
        <f t="shared" ref="JN42" si="337">JN16</f>
        <v>0</v>
      </c>
      <c r="JP42" s="43">
        <f t="shared" ref="JP42" si="338">JP16</f>
        <v>0</v>
      </c>
      <c r="JR42" s="43">
        <f t="shared" si="269"/>
        <v>0</v>
      </c>
      <c r="JU42" s="152" t="s">
        <v>252</v>
      </c>
      <c r="JV42" s="43">
        <f t="shared" si="195"/>
        <v>0</v>
      </c>
      <c r="JW42" s="43"/>
      <c r="JX42" s="43">
        <f t="shared" si="196"/>
        <v>0</v>
      </c>
      <c r="JZ42" s="43">
        <f t="shared" si="197"/>
        <v>0</v>
      </c>
      <c r="KB42" s="43">
        <f t="shared" si="198"/>
        <v>0</v>
      </c>
      <c r="KD42" s="43">
        <f t="shared" si="199"/>
        <v>0</v>
      </c>
      <c r="KF42" s="43">
        <f t="shared" si="270"/>
        <v>0</v>
      </c>
      <c r="KI42" s="152" t="s">
        <v>252</v>
      </c>
      <c r="KJ42" s="43">
        <v>0</v>
      </c>
      <c r="KK42" s="43"/>
      <c r="KL42" s="43">
        <v>0</v>
      </c>
      <c r="KN42" s="43">
        <v>0</v>
      </c>
      <c r="KP42" s="43">
        <v>0</v>
      </c>
      <c r="KR42" s="43">
        <v>0</v>
      </c>
      <c r="KT42" s="43">
        <f t="shared" si="205"/>
        <v>0</v>
      </c>
      <c r="KW42" s="152" t="s">
        <v>252</v>
      </c>
      <c r="KX42" s="43">
        <f t="shared" si="271"/>
        <v>0</v>
      </c>
      <c r="KY42" s="43"/>
      <c r="KZ42" s="43">
        <f t="shared" si="272"/>
        <v>0</v>
      </c>
      <c r="LB42" s="43">
        <f t="shared" si="273"/>
        <v>0</v>
      </c>
      <c r="LD42" s="43">
        <f t="shared" si="274"/>
        <v>0</v>
      </c>
      <c r="LF42" s="43">
        <f t="shared" si="206"/>
        <v>0</v>
      </c>
      <c r="LH42" s="43">
        <f t="shared" si="207"/>
        <v>0</v>
      </c>
      <c r="LJ42" s="152" t="s">
        <v>252</v>
      </c>
      <c r="LK42" s="43">
        <f t="shared" si="208"/>
        <v>0</v>
      </c>
      <c r="LL42" s="43"/>
      <c r="LM42" s="43">
        <f t="shared" si="209"/>
        <v>0</v>
      </c>
      <c r="LO42" s="43">
        <f t="shared" si="210"/>
        <v>0</v>
      </c>
      <c r="LP42" s="164"/>
      <c r="LQ42" s="43">
        <f t="shared" si="211"/>
        <v>0</v>
      </c>
      <c r="LS42" s="43">
        <f t="shared" si="212"/>
        <v>0</v>
      </c>
      <c r="LU42" s="43">
        <f t="shared" si="275"/>
        <v>0</v>
      </c>
      <c r="LW42" s="152" t="s">
        <v>252</v>
      </c>
      <c r="LX42" s="43">
        <f t="shared" si="213"/>
        <v>0</v>
      </c>
      <c r="LY42" s="43"/>
      <c r="LZ42" s="43">
        <f t="shared" si="213"/>
        <v>0</v>
      </c>
      <c r="MB42" s="43">
        <f t="shared" si="213"/>
        <v>0</v>
      </c>
      <c r="MD42" s="43">
        <f t="shared" si="213"/>
        <v>0</v>
      </c>
      <c r="MF42" s="43">
        <f t="shared" si="213"/>
        <v>0</v>
      </c>
      <c r="MH42" s="43">
        <f t="shared" si="276"/>
        <v>0</v>
      </c>
      <c r="MK42" s="152" t="s">
        <v>252</v>
      </c>
      <c r="ML42" s="43">
        <v>0</v>
      </c>
      <c r="MM42" s="43"/>
      <c r="MN42" s="43">
        <v>0</v>
      </c>
      <c r="MP42" s="43">
        <v>0</v>
      </c>
      <c r="MR42" s="43">
        <v>0</v>
      </c>
      <c r="MT42" s="43">
        <v>0</v>
      </c>
      <c r="MV42" s="43">
        <f t="shared" si="219"/>
        <v>0</v>
      </c>
      <c r="MY42" s="152" t="s">
        <v>252</v>
      </c>
      <c r="MZ42" s="43">
        <f t="shared" si="277"/>
        <v>0</v>
      </c>
      <c r="NA42" s="43"/>
      <c r="NB42" s="43">
        <f t="shared" si="278"/>
        <v>0</v>
      </c>
      <c r="ND42" s="43">
        <f t="shared" si="279"/>
        <v>0</v>
      </c>
      <c r="NF42" s="43">
        <f t="shared" si="220"/>
        <v>0</v>
      </c>
      <c r="NH42" s="43">
        <f t="shared" si="220"/>
        <v>0</v>
      </c>
      <c r="NJ42" s="43">
        <f t="shared" si="221"/>
        <v>0</v>
      </c>
      <c r="NL42" s="152" t="s">
        <v>252</v>
      </c>
      <c r="NM42" s="43">
        <f>NM16</f>
        <v>0</v>
      </c>
      <c r="NN42" s="43"/>
      <c r="NO42" s="43">
        <f>NO16</f>
        <v>0</v>
      </c>
      <c r="NQ42" s="43">
        <f t="shared" si="222"/>
        <v>0</v>
      </c>
      <c r="NR42" s="164"/>
      <c r="NS42" s="43">
        <f t="shared" si="223"/>
        <v>0</v>
      </c>
      <c r="NU42" s="43">
        <f t="shared" si="224"/>
        <v>0</v>
      </c>
      <c r="NW42" s="43">
        <f t="shared" si="225"/>
        <v>0</v>
      </c>
      <c r="NY42" s="59" t="s">
        <v>252</v>
      </c>
      <c r="NZ42" s="43">
        <f t="shared" si="304"/>
        <v>0</v>
      </c>
      <c r="OA42" s="43"/>
      <c r="OB42" s="43">
        <f t="shared" si="305"/>
        <v>0</v>
      </c>
      <c r="OD42" s="43">
        <v>0</v>
      </c>
      <c r="OF42" s="43">
        <v>-772524.82000000053</v>
      </c>
      <c r="OG42" s="43">
        <f>OG16-OT16</f>
        <v>0</v>
      </c>
      <c r="OH42" s="43">
        <v>0</v>
      </c>
      <c r="OJ42" s="43">
        <f t="shared" si="134"/>
        <v>-772524.82000000053</v>
      </c>
      <c r="OL42" s="59" t="s">
        <v>252</v>
      </c>
      <c r="OM42" s="43"/>
      <c r="ON42" s="43"/>
      <c r="OQ42" s="130"/>
      <c r="OS42" s="43">
        <f t="shared" ref="OS42:OS43" si="339">OS16-PF16</f>
        <v>2858656.6311000008</v>
      </c>
      <c r="OU42" s="43">
        <f t="shared" ref="OU42:OU43" si="340">OU16-PH16</f>
        <v>0</v>
      </c>
      <c r="OW42" s="43">
        <f t="shared" si="135"/>
        <v>2858656.6311000008</v>
      </c>
      <c r="OY42" s="152" t="s">
        <v>252</v>
      </c>
      <c r="OZ42" s="43"/>
      <c r="PA42" s="43"/>
      <c r="PD42" s="130"/>
      <c r="PF42" s="43">
        <f>PF16</f>
        <v>7318045.3499999996</v>
      </c>
      <c r="PJ42" s="43">
        <f t="shared" si="227"/>
        <v>7318045.3499999996</v>
      </c>
      <c r="PL42" s="59"/>
      <c r="PM42" s="43"/>
      <c r="PN42" s="43"/>
      <c r="PQ42" s="130"/>
      <c r="PY42" s="59"/>
      <c r="PZ42" s="43"/>
      <c r="QA42" s="43"/>
      <c r="QL42" s="59"/>
      <c r="QM42" s="43"/>
      <c r="QN42" s="43"/>
      <c r="QY42" s="59"/>
      <c r="QZ42" s="43"/>
      <c r="RA42" s="43"/>
      <c r="RL42" s="59"/>
      <c r="RM42" s="43"/>
      <c r="RN42" s="43"/>
      <c r="RY42" s="59"/>
      <c r="RZ42" s="43"/>
      <c r="SA42" s="43"/>
      <c r="SL42" s="59"/>
      <c r="SM42" s="43"/>
      <c r="SN42" s="43"/>
      <c r="SY42" s="59"/>
      <c r="SZ42" s="43"/>
      <c r="TA42" s="43"/>
      <c r="TL42" s="59"/>
      <c r="TM42" s="43"/>
      <c r="TN42" s="43"/>
      <c r="TY42" s="59"/>
      <c r="TZ42" s="43"/>
      <c r="UA42" s="43"/>
      <c r="UL42" s="59"/>
      <c r="UM42" s="43"/>
      <c r="UN42" s="43"/>
      <c r="UY42" s="59"/>
      <c r="UZ42" s="43"/>
      <c r="VA42" s="43"/>
      <c r="VL42" s="59"/>
      <c r="VM42" s="43"/>
      <c r="VN42" s="43"/>
      <c r="VY42" s="59"/>
      <c r="VZ42" s="43"/>
      <c r="WA42" s="43"/>
      <c r="WL42" s="59"/>
      <c r="WM42" s="43"/>
      <c r="WN42" s="43"/>
      <c r="WY42" s="59"/>
      <c r="WZ42" s="43"/>
      <c r="XA42" s="43"/>
      <c r="XL42" s="59"/>
      <c r="XM42" s="43"/>
      <c r="XN42" s="43"/>
      <c r="XY42" s="59"/>
      <c r="XZ42" s="43"/>
      <c r="YA42" s="43"/>
    </row>
    <row r="43" spans="1:660">
      <c r="A43" s="59" t="s">
        <v>63</v>
      </c>
      <c r="B43" s="43"/>
      <c r="C43" s="43"/>
      <c r="F43" s="43"/>
      <c r="O43" s="59" t="s">
        <v>63</v>
      </c>
      <c r="P43" s="43"/>
      <c r="Q43" s="43"/>
      <c r="T43" s="43"/>
      <c r="AC43" s="59" t="s">
        <v>63</v>
      </c>
      <c r="AD43" s="43"/>
      <c r="AE43" s="43"/>
      <c r="AH43" s="43"/>
      <c r="AQ43" s="59" t="s">
        <v>63</v>
      </c>
      <c r="AR43" s="43">
        <f t="shared" ref="AR43" si="341">AR17</f>
        <v>0</v>
      </c>
      <c r="AS43" s="43"/>
      <c r="AT43" s="43">
        <f t="shared" ref="AT43" si="342">AT17</f>
        <v>0</v>
      </c>
      <c r="AV43" s="43">
        <f t="shared" si="155"/>
        <v>0</v>
      </c>
      <c r="AX43" s="43">
        <f t="shared" si="156"/>
        <v>176749.889069</v>
      </c>
      <c r="AZ43" s="43">
        <f t="shared" si="157"/>
        <v>-91217.780759999994</v>
      </c>
      <c r="BB43" s="43">
        <f t="shared" si="230"/>
        <v>85532.108309000003</v>
      </c>
      <c r="BE43" s="59" t="s">
        <v>63</v>
      </c>
      <c r="BF43" s="43">
        <f t="shared" si="231"/>
        <v>0</v>
      </c>
      <c r="BG43" s="43"/>
      <c r="BH43" s="43">
        <f t="shared" si="232"/>
        <v>0</v>
      </c>
      <c r="BJ43" s="43">
        <f t="shared" si="233"/>
        <v>0</v>
      </c>
      <c r="BL43" s="43">
        <f t="shared" si="234"/>
        <v>-560177.23312419443</v>
      </c>
      <c r="BN43" s="43">
        <f t="shared" si="235"/>
        <v>-214535.54190666665</v>
      </c>
      <c r="BP43" s="43">
        <f t="shared" si="236"/>
        <v>-774712.77503086114</v>
      </c>
      <c r="BS43" s="59" t="s">
        <v>63</v>
      </c>
      <c r="BT43" s="43">
        <f t="shared" si="158"/>
        <v>0</v>
      </c>
      <c r="BU43" s="43"/>
      <c r="BV43" s="43">
        <f t="shared" si="158"/>
        <v>0</v>
      </c>
      <c r="BX43" s="43">
        <f t="shared" si="158"/>
        <v>0</v>
      </c>
      <c r="BZ43" s="43">
        <f t="shared" si="158"/>
        <v>119257.43679311097</v>
      </c>
      <c r="CB43" s="43">
        <f t="shared" si="158"/>
        <v>0</v>
      </c>
      <c r="CD43" s="43">
        <f t="shared" si="237"/>
        <v>119257.43679311097</v>
      </c>
      <c r="CG43" s="59" t="s">
        <v>63</v>
      </c>
      <c r="CH43" s="43">
        <f t="shared" si="159"/>
        <v>0</v>
      </c>
      <c r="CI43" s="43"/>
      <c r="CJ43" s="43">
        <f t="shared" si="159"/>
        <v>0</v>
      </c>
      <c r="CL43" s="43">
        <f t="shared" si="159"/>
        <v>0</v>
      </c>
      <c r="CN43" s="43">
        <f t="shared" si="159"/>
        <v>-393927.32</v>
      </c>
      <c r="CP43" s="43">
        <f t="shared" si="159"/>
        <v>0</v>
      </c>
      <c r="CR43" s="43">
        <f t="shared" si="238"/>
        <v>-393927.32</v>
      </c>
      <c r="CU43" s="59" t="s">
        <v>63</v>
      </c>
      <c r="CV43" s="43">
        <f t="shared" si="160"/>
        <v>0</v>
      </c>
      <c r="CW43" s="43"/>
      <c r="CX43" s="43">
        <f t="shared" si="160"/>
        <v>0</v>
      </c>
      <c r="CZ43" s="43">
        <f t="shared" ref="CZ43" si="343">CZ17</f>
        <v>0</v>
      </c>
      <c r="DB43" s="43">
        <f t="shared" ref="DB43" si="344">DB17</f>
        <v>0</v>
      </c>
      <c r="DD43" s="43">
        <f t="shared" ref="DD43" si="345">DD17</f>
        <v>0</v>
      </c>
      <c r="DF43" s="43">
        <f t="shared" si="242"/>
        <v>0</v>
      </c>
      <c r="DI43" s="59" t="s">
        <v>63</v>
      </c>
      <c r="DJ43" s="43">
        <f t="shared" si="243"/>
        <v>0</v>
      </c>
      <c r="DK43" s="43"/>
      <c r="DL43" s="43">
        <f t="shared" si="243"/>
        <v>0</v>
      </c>
      <c r="DN43" s="43">
        <f t="shared" si="243"/>
        <v>192439.13</v>
      </c>
      <c r="DP43" s="43">
        <f t="shared" si="243"/>
        <v>-1800756.9625049222</v>
      </c>
      <c r="DR43" s="43">
        <f t="shared" si="243"/>
        <v>189935.62233911117</v>
      </c>
      <c r="DT43" s="43">
        <f t="shared" si="244"/>
        <v>-1418382.2101658108</v>
      </c>
      <c r="DW43" s="59" t="s">
        <v>63</v>
      </c>
      <c r="DX43" s="43">
        <f t="shared" si="164"/>
        <v>0</v>
      </c>
      <c r="DY43" s="43"/>
      <c r="DZ43" s="43">
        <f t="shared" si="164"/>
        <v>0</v>
      </c>
      <c r="EB43" s="43">
        <f t="shared" si="164"/>
        <v>104737.44000000006</v>
      </c>
      <c r="ED43" s="43">
        <f t="shared" si="164"/>
        <v>430039.76584516728</v>
      </c>
      <c r="EF43" s="43">
        <f t="shared" si="164"/>
        <v>-457258.18770477781</v>
      </c>
      <c r="EH43" s="43">
        <f t="shared" si="245"/>
        <v>77519.018140389584</v>
      </c>
      <c r="EK43" s="59" t="s">
        <v>63</v>
      </c>
      <c r="EL43" s="43">
        <f t="shared" si="165"/>
        <v>0</v>
      </c>
      <c r="EM43" s="43"/>
      <c r="EN43" s="43">
        <f t="shared" si="165"/>
        <v>0</v>
      </c>
      <c r="EP43" s="43">
        <f t="shared" si="165"/>
        <v>325394.96999999997</v>
      </c>
      <c r="ER43" s="43">
        <f t="shared" si="165"/>
        <v>-700459.05797457858</v>
      </c>
      <c r="ET43" s="43">
        <f t="shared" si="165"/>
        <v>0</v>
      </c>
      <c r="EV43" s="43">
        <f t="shared" si="246"/>
        <v>-375064.08797457861</v>
      </c>
      <c r="EY43" s="59" t="s">
        <v>63</v>
      </c>
      <c r="EZ43" s="43">
        <f t="shared" ref="EZ43:FB43" si="346">EZ17</f>
        <v>0</v>
      </c>
      <c r="FA43" s="43"/>
      <c r="FB43" s="43">
        <f t="shared" si="346"/>
        <v>0</v>
      </c>
      <c r="FD43" s="43">
        <f t="shared" ref="FD43" si="347">FD17</f>
        <v>221251.87</v>
      </c>
      <c r="FF43" s="43">
        <f t="shared" ref="FF43" si="348">FF17</f>
        <v>3192.7600000000079</v>
      </c>
      <c r="FH43" s="43">
        <f t="shared" ref="FH43" si="349">FH17</f>
        <v>0</v>
      </c>
      <c r="FJ43" s="43">
        <f t="shared" si="251"/>
        <v>224444.63</v>
      </c>
      <c r="FM43" s="59" t="s">
        <v>63</v>
      </c>
      <c r="FN43" s="43">
        <f t="shared" si="252"/>
        <v>0</v>
      </c>
      <c r="FO43" s="43"/>
      <c r="FP43" s="43">
        <f t="shared" si="170"/>
        <v>0</v>
      </c>
      <c r="FR43" s="43">
        <f t="shared" si="171"/>
        <v>158805.99</v>
      </c>
      <c r="FT43" s="43">
        <f t="shared" si="172"/>
        <v>243363.36293257971</v>
      </c>
      <c r="FV43" s="43">
        <f t="shared" si="173"/>
        <v>146615.12470059586</v>
      </c>
      <c r="FX43" s="43">
        <f t="shared" si="253"/>
        <v>548784.47763317556</v>
      </c>
      <c r="GA43" s="59" t="s">
        <v>63</v>
      </c>
      <c r="GB43" s="43">
        <f t="shared" si="174"/>
        <v>0</v>
      </c>
      <c r="GC43" s="43"/>
      <c r="GD43" s="43">
        <f t="shared" si="175"/>
        <v>0</v>
      </c>
      <c r="GF43" s="43">
        <f t="shared" si="176"/>
        <v>337487.64</v>
      </c>
      <c r="GH43" s="43">
        <f t="shared" si="177"/>
        <v>98609.89533933351</v>
      </c>
      <c r="GJ43" s="43">
        <f t="shared" si="178"/>
        <v>-29544.963700595865</v>
      </c>
      <c r="GL43" s="43">
        <f t="shared" si="254"/>
        <v>406552.57163873769</v>
      </c>
      <c r="GO43" s="59" t="s">
        <v>63</v>
      </c>
      <c r="GP43" s="43">
        <f t="shared" si="179"/>
        <v>0</v>
      </c>
      <c r="GQ43" s="43"/>
      <c r="GR43" s="43">
        <f t="shared" si="180"/>
        <v>0</v>
      </c>
      <c r="GT43" s="43">
        <f t="shared" si="181"/>
        <v>295056.04000000004</v>
      </c>
      <c r="GV43" s="43">
        <f t="shared" si="182"/>
        <v>178719.70865500005</v>
      </c>
      <c r="GX43" s="43">
        <f t="shared" si="183"/>
        <v>-117070.16099999999</v>
      </c>
      <c r="GZ43" s="43">
        <f t="shared" si="255"/>
        <v>356705.58765500016</v>
      </c>
      <c r="HC43" s="59" t="s">
        <v>63</v>
      </c>
      <c r="HD43" s="43">
        <f t="shared" ref="HD43" si="350">HD17</f>
        <v>0</v>
      </c>
      <c r="HE43" s="43"/>
      <c r="HF43" s="43">
        <f t="shared" ref="HF43" si="351">HF17</f>
        <v>0</v>
      </c>
      <c r="HH43" s="43">
        <f t="shared" si="317"/>
        <v>157563.59</v>
      </c>
      <c r="HJ43" s="43">
        <f t="shared" si="318"/>
        <v>259495.85949999999</v>
      </c>
      <c r="HL43" s="43">
        <f t="shared" si="319"/>
        <v>0</v>
      </c>
      <c r="HN43" s="43">
        <f t="shared" si="261"/>
        <v>417059.44949999999</v>
      </c>
      <c r="HQ43" s="59" t="s">
        <v>63</v>
      </c>
      <c r="HR43" s="43">
        <f t="shared" si="184"/>
        <v>0</v>
      </c>
      <c r="HS43" s="43"/>
      <c r="HT43" s="43">
        <f t="shared" si="185"/>
        <v>0</v>
      </c>
      <c r="HV43" s="43">
        <f t="shared" si="186"/>
        <v>220453.59999999998</v>
      </c>
      <c r="HX43" s="43">
        <f t="shared" si="187"/>
        <v>-249616.06050000002</v>
      </c>
      <c r="HZ43" s="43">
        <f>HZ17-IN17</f>
        <v>0</v>
      </c>
      <c r="IB43" s="43">
        <f t="shared" si="262"/>
        <v>-29162.460500000045</v>
      </c>
      <c r="IE43" s="59" t="s">
        <v>63</v>
      </c>
      <c r="IF43" s="43">
        <f t="shared" si="189"/>
        <v>0</v>
      </c>
      <c r="IG43" s="43"/>
      <c r="IH43" s="43">
        <f t="shared" si="189"/>
        <v>0</v>
      </c>
      <c r="IJ43" s="43">
        <f t="shared" si="189"/>
        <v>433927.26999999996</v>
      </c>
      <c r="IL43" s="43">
        <f t="shared" si="189"/>
        <v>596292.90950000007</v>
      </c>
      <c r="IN43" s="43">
        <f t="shared" si="189"/>
        <v>0</v>
      </c>
      <c r="IP43" s="43">
        <f t="shared" si="263"/>
        <v>1030220.1795000001</v>
      </c>
      <c r="IS43" s="59" t="s">
        <v>63</v>
      </c>
      <c r="IT43" s="43">
        <f t="shared" si="190"/>
        <v>0</v>
      </c>
      <c r="IU43" s="43"/>
      <c r="IV43" s="43">
        <f t="shared" si="191"/>
        <v>0</v>
      </c>
      <c r="IX43" s="43">
        <f t="shared" si="192"/>
        <v>241731.94</v>
      </c>
      <c r="IZ43" s="43">
        <f t="shared" si="193"/>
        <v>-84373.36050000001</v>
      </c>
      <c r="JB43" s="43">
        <f t="shared" si="194"/>
        <v>0</v>
      </c>
      <c r="JD43" s="43">
        <f t="shared" si="264"/>
        <v>157358.57949999999</v>
      </c>
      <c r="JG43" s="59" t="s">
        <v>63</v>
      </c>
      <c r="JH43" s="43">
        <f t="shared" si="335"/>
        <v>0</v>
      </c>
      <c r="JI43" s="43"/>
      <c r="JJ43" s="43">
        <f t="shared" si="335"/>
        <v>0</v>
      </c>
      <c r="JL43" s="43">
        <f t="shared" ref="JL43" si="352">JL17</f>
        <v>199470.61</v>
      </c>
      <c r="JN43" s="43">
        <f t="shared" ref="JN43" si="353">JN17</f>
        <v>115878.63950000003</v>
      </c>
      <c r="JP43" s="43">
        <f t="shared" ref="JP43" si="354">JP17</f>
        <v>0</v>
      </c>
      <c r="JR43" s="43">
        <f t="shared" si="269"/>
        <v>315349.24950000003</v>
      </c>
      <c r="JU43" s="59" t="s">
        <v>63</v>
      </c>
      <c r="JV43" s="43">
        <f t="shared" si="195"/>
        <v>0</v>
      </c>
      <c r="JW43" s="43"/>
      <c r="JX43" s="43">
        <f t="shared" si="196"/>
        <v>0</v>
      </c>
      <c r="JZ43" s="43">
        <f t="shared" si="197"/>
        <v>200901.87</v>
      </c>
      <c r="KB43" s="43">
        <f t="shared" si="198"/>
        <v>-208379.25050000002</v>
      </c>
      <c r="KD43" s="43">
        <f t="shared" si="199"/>
        <v>0</v>
      </c>
      <c r="KF43" s="43">
        <f t="shared" si="270"/>
        <v>-7477.3805000000284</v>
      </c>
      <c r="KI43" s="59" t="s">
        <v>63</v>
      </c>
      <c r="KJ43" s="43">
        <f t="shared" ref="KJ43" si="355">KJ17-KX17</f>
        <v>0</v>
      </c>
      <c r="KK43" s="43"/>
      <c r="KL43" s="43">
        <f t="shared" ref="KL43" si="356">KL17-KZ17</f>
        <v>0</v>
      </c>
      <c r="KN43" s="43">
        <f t="shared" ref="KN43" si="357">KN17-LB17</f>
        <v>335905.35</v>
      </c>
      <c r="KP43" s="43">
        <f t="shared" ref="KP43" si="358">KP17-LD17</f>
        <v>-232705.42050000001</v>
      </c>
      <c r="KR43" s="43">
        <f t="shared" ref="KR43" si="359">KR17-LF17</f>
        <v>0</v>
      </c>
      <c r="KT43" s="43">
        <f t="shared" si="205"/>
        <v>103199.92949999997</v>
      </c>
      <c r="KW43" s="59" t="s">
        <v>63</v>
      </c>
      <c r="KX43" s="43">
        <f t="shared" si="271"/>
        <v>0</v>
      </c>
      <c r="KY43" s="43"/>
      <c r="KZ43" s="43">
        <f t="shared" si="272"/>
        <v>0</v>
      </c>
      <c r="LB43" s="43">
        <f t="shared" si="273"/>
        <v>208008.31999999998</v>
      </c>
      <c r="LD43" s="43">
        <f t="shared" si="274"/>
        <v>138372.5895</v>
      </c>
      <c r="LF43" s="43">
        <f t="shared" si="206"/>
        <v>0</v>
      </c>
      <c r="LH43" s="43">
        <f t="shared" si="207"/>
        <v>346380.90949999995</v>
      </c>
      <c r="LJ43" s="59" t="s">
        <v>63</v>
      </c>
      <c r="LK43" s="43">
        <f t="shared" si="208"/>
        <v>0</v>
      </c>
      <c r="LL43" s="43"/>
      <c r="LM43" s="43">
        <f t="shared" si="209"/>
        <v>0</v>
      </c>
      <c r="LO43" s="43">
        <f t="shared" si="210"/>
        <v>205621.66</v>
      </c>
      <c r="LP43" s="164"/>
      <c r="LQ43" s="43">
        <f t="shared" si="211"/>
        <v>82478.959499999983</v>
      </c>
      <c r="LS43" s="43">
        <f t="shared" si="212"/>
        <v>0</v>
      </c>
      <c r="LU43" s="43">
        <f t="shared" si="275"/>
        <v>288100.61949999997</v>
      </c>
      <c r="LW43" s="59" t="s">
        <v>63</v>
      </c>
      <c r="LX43" s="43">
        <f t="shared" si="213"/>
        <v>0</v>
      </c>
      <c r="LY43" s="43"/>
      <c r="LZ43" s="43">
        <f t="shared" si="213"/>
        <v>0</v>
      </c>
      <c r="MB43" s="43">
        <f t="shared" si="213"/>
        <v>83998.89000000013</v>
      </c>
      <c r="MD43" s="43">
        <f t="shared" si="213"/>
        <v>-38521.670500000037</v>
      </c>
      <c r="MF43" s="43">
        <f t="shared" si="213"/>
        <v>0</v>
      </c>
      <c r="MH43" s="43">
        <f t="shared" si="276"/>
        <v>45477.219500000094</v>
      </c>
      <c r="MK43" s="59" t="s">
        <v>63</v>
      </c>
      <c r="ML43" s="43">
        <f t="shared" si="214"/>
        <v>0</v>
      </c>
      <c r="MM43" s="43"/>
      <c r="MN43" s="43">
        <f t="shared" si="215"/>
        <v>0</v>
      </c>
      <c r="MP43" s="43">
        <f t="shared" si="216"/>
        <v>237228.60999999987</v>
      </c>
      <c r="MR43" s="43">
        <f t="shared" si="217"/>
        <v>77606.724107080023</v>
      </c>
      <c r="MT43" s="43">
        <f t="shared" si="218"/>
        <v>0</v>
      </c>
      <c r="MV43" s="43">
        <f t="shared" si="219"/>
        <v>314835.33410707989</v>
      </c>
      <c r="MY43" s="59" t="s">
        <v>63</v>
      </c>
      <c r="MZ43" s="43">
        <f t="shared" si="277"/>
        <v>0</v>
      </c>
      <c r="NA43" s="43"/>
      <c r="NB43" s="43">
        <f t="shared" si="278"/>
        <v>0</v>
      </c>
      <c r="ND43" s="43">
        <f t="shared" si="279"/>
        <v>2472785.3200000003</v>
      </c>
      <c r="NF43" s="43">
        <f t="shared" si="220"/>
        <v>-209805.93049999999</v>
      </c>
      <c r="NH43" s="43">
        <f t="shared" si="220"/>
        <v>0</v>
      </c>
      <c r="NJ43" s="43">
        <f t="shared" si="221"/>
        <v>2262979.3895000005</v>
      </c>
      <c r="NL43" s="59" t="s">
        <v>63</v>
      </c>
      <c r="NM43" s="43">
        <f>NM17</f>
        <v>0</v>
      </c>
      <c r="NN43" s="43"/>
      <c r="NO43" s="43">
        <f>NO17</f>
        <v>0</v>
      </c>
      <c r="NQ43" s="43">
        <f t="shared" si="222"/>
        <v>858540</v>
      </c>
      <c r="NR43" s="164"/>
      <c r="NS43" s="43">
        <f t="shared" si="223"/>
        <v>387302.44489291997</v>
      </c>
      <c r="NU43" s="43">
        <f t="shared" si="224"/>
        <v>0</v>
      </c>
      <c r="NW43" s="43">
        <f t="shared" si="225"/>
        <v>1245842.4448929201</v>
      </c>
      <c r="NY43" s="59" t="s">
        <v>63</v>
      </c>
      <c r="NZ43" s="43">
        <f t="shared" si="304"/>
        <v>0</v>
      </c>
      <c r="OA43" s="43"/>
      <c r="OB43" s="43">
        <f t="shared" si="305"/>
        <v>0</v>
      </c>
      <c r="OD43" s="43">
        <v>564398.67000000004</v>
      </c>
      <c r="OF43" s="43">
        <v>-450529.54049999983</v>
      </c>
      <c r="OG43" s="43">
        <f>OG17-OT17</f>
        <v>0</v>
      </c>
      <c r="OH43" s="43">
        <v>0</v>
      </c>
      <c r="OJ43" s="43">
        <f t="shared" si="134"/>
        <v>113869.12950000021</v>
      </c>
      <c r="OL43" s="59" t="s">
        <v>63</v>
      </c>
      <c r="OM43" s="43"/>
      <c r="ON43" s="43"/>
      <c r="OQ43" s="130"/>
      <c r="OS43" s="43">
        <f t="shared" si="339"/>
        <v>219155.4794999999</v>
      </c>
      <c r="OU43" s="43">
        <f t="shared" si="340"/>
        <v>0</v>
      </c>
      <c r="OW43" s="43">
        <f t="shared" si="135"/>
        <v>219155.4794999999</v>
      </c>
      <c r="OY43" s="152" t="s">
        <v>63</v>
      </c>
      <c r="OZ43" s="43"/>
      <c r="PA43" s="43"/>
      <c r="PD43" s="130"/>
      <c r="PF43" s="43">
        <f>PF17-PS17</f>
        <v>419677.16966666561</v>
      </c>
      <c r="PH43" s="43">
        <f>PH17-PU17</f>
        <v>0</v>
      </c>
      <c r="PJ43" s="43">
        <f t="shared" si="227"/>
        <v>419677.16966666561</v>
      </c>
      <c r="PL43" s="59" t="s">
        <v>63</v>
      </c>
      <c r="PM43" s="43"/>
      <c r="PN43" s="43"/>
      <c r="PQ43" s="130"/>
      <c r="PS43" s="43">
        <f>PS17-QF17</f>
        <v>257287.08000000054</v>
      </c>
      <c r="PU43" s="43">
        <f>PU17-QH17</f>
        <v>0</v>
      </c>
      <c r="PW43" s="43">
        <f t="shared" si="136"/>
        <v>257287.08000000054</v>
      </c>
      <c r="PY43" s="59" t="s">
        <v>63</v>
      </c>
      <c r="PZ43" s="43"/>
      <c r="QA43" s="43"/>
      <c r="QF43" s="43">
        <f>QF17-QS17</f>
        <v>405637.39999999991</v>
      </c>
      <c r="QH43" s="43">
        <f>QH17-QU17</f>
        <v>0</v>
      </c>
      <c r="QJ43" s="43">
        <f t="shared" si="137"/>
        <v>405637.39999999991</v>
      </c>
      <c r="QL43" s="59" t="s">
        <v>63</v>
      </c>
      <c r="QM43" s="43"/>
      <c r="QN43" s="43"/>
      <c r="QS43" s="43">
        <f>QS17-RF17</f>
        <v>438773.67000000004</v>
      </c>
      <c r="QU43" s="43">
        <f>QU17-RH17</f>
        <v>0</v>
      </c>
      <c r="QW43" s="43">
        <f t="shared" si="138"/>
        <v>438773.67000000004</v>
      </c>
      <c r="QY43" s="59" t="s">
        <v>63</v>
      </c>
      <c r="QZ43" s="43"/>
      <c r="RA43" s="43"/>
      <c r="RF43" s="43">
        <f>RF17</f>
        <v>760074.93</v>
      </c>
      <c r="RH43" s="43">
        <f>RH17</f>
        <v>0</v>
      </c>
      <c r="RJ43" s="43">
        <f t="shared" si="139"/>
        <v>760074.93</v>
      </c>
      <c r="RL43" s="59" t="s">
        <v>63</v>
      </c>
      <c r="RM43" s="43"/>
      <c r="RN43" s="43"/>
      <c r="RS43" s="43">
        <f>RS17-SF17</f>
        <v>1150048.29</v>
      </c>
      <c r="RU43" s="43">
        <f>RU17-SH17</f>
        <v>0</v>
      </c>
      <c r="RW43" s="43">
        <f t="shared" si="140"/>
        <v>1150048.29</v>
      </c>
      <c r="RY43" s="59" t="s">
        <v>63</v>
      </c>
      <c r="RZ43" s="43"/>
      <c r="SA43" s="43"/>
      <c r="SF43" s="43">
        <f>SF17-SS17</f>
        <v>433147.29000000004</v>
      </c>
      <c r="SH43" s="43">
        <f>SH17-SU17</f>
        <v>0</v>
      </c>
      <c r="SJ43" s="43">
        <f t="shared" si="141"/>
        <v>433147.29000000004</v>
      </c>
      <c r="SL43" s="59" t="s">
        <v>63</v>
      </c>
      <c r="SM43" s="43"/>
      <c r="SN43" s="43"/>
      <c r="SS43" s="43">
        <f>SS17-TF17</f>
        <v>712377.34999999986</v>
      </c>
      <c r="SU43" s="43">
        <f>SU17-TH17</f>
        <v>0</v>
      </c>
      <c r="SW43" s="43">
        <f t="shared" si="142"/>
        <v>712377.34999999986</v>
      </c>
      <c r="SY43" s="59" t="s">
        <v>63</v>
      </c>
      <c r="SZ43" s="43"/>
      <c r="TA43" s="43"/>
      <c r="TF43" s="43">
        <f>TF17</f>
        <v>385154.11000000004</v>
      </c>
      <c r="TH43" s="43">
        <f>TH17</f>
        <v>0</v>
      </c>
      <c r="TJ43" s="43">
        <f t="shared" si="143"/>
        <v>385154.11000000004</v>
      </c>
      <c r="TL43" s="59" t="s">
        <v>63</v>
      </c>
      <c r="TM43" s="43"/>
      <c r="TN43" s="43"/>
      <c r="TS43" s="43">
        <f>TS17-UF17</f>
        <v>320598.85000000003</v>
      </c>
      <c r="TU43" s="43">
        <f>TU17-UH17</f>
        <v>75313.39</v>
      </c>
      <c r="TW43" s="43">
        <f t="shared" si="144"/>
        <v>395912.24000000005</v>
      </c>
      <c r="TY43" s="59" t="s">
        <v>63</v>
      </c>
      <c r="TZ43" s="43"/>
      <c r="UA43" s="43"/>
      <c r="UF43" s="43">
        <f>UF17-US17</f>
        <v>54204.83</v>
      </c>
      <c r="UH43" s="43">
        <f>UH17-UU17</f>
        <v>-23066.370000000003</v>
      </c>
      <c r="UJ43" s="43">
        <f t="shared" si="145"/>
        <v>31138.46</v>
      </c>
      <c r="UL43" s="59" t="s">
        <v>63</v>
      </c>
      <c r="UM43" s="43"/>
      <c r="UN43" s="43"/>
      <c r="US43" s="43">
        <f>US17-VF17</f>
        <v>-58040.130000000005</v>
      </c>
      <c r="UU43" s="43">
        <f>UU17-VH17</f>
        <v>-28909.099999999995</v>
      </c>
      <c r="UW43" s="43">
        <f t="shared" si="146"/>
        <v>-86949.23</v>
      </c>
      <c r="UY43" s="59" t="s">
        <v>63</v>
      </c>
      <c r="UZ43" s="43"/>
      <c r="VA43" s="43"/>
      <c r="VF43" s="43">
        <f>VF17</f>
        <v>32090.84</v>
      </c>
      <c r="VH43" s="43">
        <f>VH17</f>
        <v>-23337.920000000002</v>
      </c>
      <c r="VJ43" s="43">
        <f t="shared" si="147"/>
        <v>8752.9199999999983</v>
      </c>
      <c r="VL43" s="59" t="s">
        <v>63</v>
      </c>
      <c r="VM43" s="43"/>
      <c r="VN43" s="43"/>
      <c r="VS43" s="43">
        <f>VS17-WF17</f>
        <v>-427350.41</v>
      </c>
      <c r="VU43" s="43">
        <f>VU17-WH17</f>
        <v>-22136.3</v>
      </c>
      <c r="VW43" s="43">
        <f t="shared" si="148"/>
        <v>-449486.70999999996</v>
      </c>
      <c r="VY43" s="59" t="s">
        <v>63</v>
      </c>
      <c r="VZ43" s="43"/>
      <c r="WA43" s="43"/>
      <c r="WF43" s="43">
        <f>WF17-WS17</f>
        <v>158066.00999999998</v>
      </c>
      <c r="WH43" s="43">
        <f>WH17-WU17</f>
        <v>0</v>
      </c>
      <c r="WJ43" s="43">
        <f t="shared" si="149"/>
        <v>158066.00999999998</v>
      </c>
      <c r="WL43" s="59" t="s">
        <v>63</v>
      </c>
      <c r="WM43" s="43"/>
      <c r="WN43" s="43"/>
      <c r="WS43" s="43">
        <f>WS17-XF17</f>
        <v>194895.26</v>
      </c>
      <c r="WU43" s="43">
        <f>WU17-XH17</f>
        <v>-4168.71</v>
      </c>
      <c r="WW43" s="43">
        <f t="shared" si="150"/>
        <v>190726.55000000002</v>
      </c>
      <c r="WY43" s="59" t="s">
        <v>63</v>
      </c>
      <c r="WZ43" s="43"/>
      <c r="XA43" s="43"/>
      <c r="XF43" s="43">
        <f>XF17</f>
        <v>6217.71</v>
      </c>
      <c r="XH43" s="43">
        <f>XH17</f>
        <v>4168.71</v>
      </c>
      <c r="XJ43" s="43">
        <f t="shared" si="151"/>
        <v>10386.42</v>
      </c>
      <c r="XL43" s="59" t="s">
        <v>63</v>
      </c>
      <c r="XM43" s="43"/>
      <c r="XN43" s="43"/>
      <c r="XS43" s="43">
        <f>XS17-YF17</f>
        <v>102945.41</v>
      </c>
      <c r="XU43" s="43">
        <f>XU17-YH17</f>
        <v>-20126.133495405302</v>
      </c>
      <c r="XW43" s="43">
        <f t="shared" si="152"/>
        <v>82819.276504594702</v>
      </c>
      <c r="XY43" s="59"/>
      <c r="XZ43" s="43"/>
      <c r="YA43" s="43"/>
    </row>
    <row r="44" spans="1:660">
      <c r="LB44" s="156"/>
      <c r="LO44" s="156"/>
      <c r="LP44" s="164"/>
      <c r="ND44" s="156"/>
      <c r="NQ44" s="156"/>
      <c r="NR44" s="164"/>
      <c r="OD44" s="156"/>
      <c r="OQ44" s="130"/>
      <c r="PD44" s="130"/>
      <c r="PQ44" s="130"/>
    </row>
    <row r="45" spans="1:660" ht="11" thickBot="1">
      <c r="A45" s="48" t="s">
        <v>150</v>
      </c>
      <c r="B45" s="53"/>
      <c r="C45" s="50"/>
      <c r="D45" s="53"/>
      <c r="E45" s="49"/>
      <c r="F45" s="167"/>
      <c r="G45" s="49"/>
      <c r="H45" s="53"/>
      <c r="I45" s="49"/>
      <c r="J45" s="53"/>
      <c r="K45" s="49"/>
      <c r="L45" s="53"/>
      <c r="O45" s="48" t="s">
        <v>150</v>
      </c>
      <c r="P45" s="53"/>
      <c r="Q45" s="50"/>
      <c r="R45" s="53"/>
      <c r="S45" s="49"/>
      <c r="T45" s="167"/>
      <c r="U45" s="49"/>
      <c r="V45" s="53"/>
      <c r="W45" s="49"/>
      <c r="X45" s="53"/>
      <c r="Y45" s="49"/>
      <c r="Z45" s="53"/>
      <c r="AC45" s="48" t="s">
        <v>150</v>
      </c>
      <c r="AD45" s="53"/>
      <c r="AE45" s="50"/>
      <c r="AF45" s="53"/>
      <c r="AG45" s="49"/>
      <c r="AH45" s="167"/>
      <c r="AI45" s="49"/>
      <c r="AJ45" s="53"/>
      <c r="AK45" s="49"/>
      <c r="AL45" s="53"/>
      <c r="AM45" s="49"/>
      <c r="AN45" s="53"/>
      <c r="AQ45" s="48" t="s">
        <v>150</v>
      </c>
      <c r="AR45" s="53">
        <f>AR31+AR36</f>
        <v>48450699.716456592</v>
      </c>
      <c r="AS45" s="50"/>
      <c r="AT45" s="53">
        <f>AT31+AT36</f>
        <v>3015387.7337871883</v>
      </c>
      <c r="AU45" s="49"/>
      <c r="AV45" s="167">
        <f>AV31+AV36</f>
        <v>-4913144.5500000007</v>
      </c>
      <c r="AW45" s="49"/>
      <c r="AX45" s="53">
        <f>AX31+AX36</f>
        <v>-5144000.9688104279</v>
      </c>
      <c r="AY45" s="49"/>
      <c r="AZ45" s="53">
        <f>AZ31+AZ36</f>
        <v>47460.420000000042</v>
      </c>
      <c r="BA45" s="49"/>
      <c r="BB45" s="53">
        <f>BB31+BB36</f>
        <v>41456402.351433367</v>
      </c>
      <c r="BE45" s="48" t="s">
        <v>150</v>
      </c>
      <c r="BF45" s="53">
        <f>BF31+BF36</f>
        <v>33311498.094330788</v>
      </c>
      <c r="BG45" s="50"/>
      <c r="BH45" s="53">
        <f>BH31+BH36</f>
        <v>3457650.0802577622</v>
      </c>
      <c r="BI45" s="49"/>
      <c r="BJ45" s="167">
        <f>BJ31+BJ36</f>
        <v>-5906428.8000000007</v>
      </c>
      <c r="BK45" s="49"/>
      <c r="BL45" s="53">
        <f>BL31+BL36</f>
        <v>-6591760.0219598273</v>
      </c>
      <c r="BM45" s="49"/>
      <c r="BN45" s="53">
        <f>BN31+BN36</f>
        <v>21828.938813889399</v>
      </c>
      <c r="BO45" s="49"/>
      <c r="BP45" s="53">
        <f>BP31+BP36</f>
        <v>24292788.291442618</v>
      </c>
      <c r="BS45" s="48" t="s">
        <v>150</v>
      </c>
      <c r="BT45" s="53">
        <f>BT31+BT36</f>
        <v>30490804.203417242</v>
      </c>
      <c r="BU45" s="50"/>
      <c r="BV45" s="53">
        <f>BV31+BV36</f>
        <v>2586271.2834704434</v>
      </c>
      <c r="BW45" s="49"/>
      <c r="BX45" s="167">
        <f>BX31+BX36</f>
        <v>-8069667.5800000001</v>
      </c>
      <c r="BY45" s="49"/>
      <c r="BZ45" s="53">
        <f>BZ31+BZ36</f>
        <v>-4420484.4594246596</v>
      </c>
      <c r="CA45" s="49"/>
      <c r="CB45" s="53">
        <f>CB31+CB36</f>
        <v>86252.704631338012</v>
      </c>
      <c r="CC45" s="49"/>
      <c r="CD45" s="53">
        <f>CD31+CD36</f>
        <v>20673176.152094364</v>
      </c>
      <c r="CG45" s="48" t="s">
        <v>150</v>
      </c>
      <c r="CH45" s="53">
        <f>CH31+CH36</f>
        <v>22144818.141370595</v>
      </c>
      <c r="CI45" s="50"/>
      <c r="CJ45" s="53">
        <f>CJ31+CJ36</f>
        <v>3542080.6723803654</v>
      </c>
      <c r="CK45" s="49"/>
      <c r="CL45" s="167">
        <f>CL31+CL36</f>
        <v>-5201126.7299999986</v>
      </c>
      <c r="CM45" s="49"/>
      <c r="CN45" s="53">
        <f>CN31+CN36</f>
        <v>-3961043.0950962156</v>
      </c>
      <c r="CO45" s="49"/>
      <c r="CP45" s="53">
        <f>CP31+CP36</f>
        <v>84883.291471440229</v>
      </c>
      <c r="CQ45" s="49"/>
      <c r="CR45" s="53">
        <f>CR31+CR36</f>
        <v>16609612.280126169</v>
      </c>
      <c r="CU45" s="48" t="s">
        <v>150</v>
      </c>
      <c r="CV45" s="53">
        <f>CV31+CV36</f>
        <v>51908809.328220546</v>
      </c>
      <c r="CW45" s="50"/>
      <c r="CX45" s="53">
        <f>CX31+CX36</f>
        <v>3282729.9021068132</v>
      </c>
      <c r="CY45" s="49"/>
      <c r="CZ45" s="167">
        <f>CZ31+CZ36</f>
        <v>-4108606.5500000003</v>
      </c>
      <c r="DA45" s="49"/>
      <c r="DB45" s="53">
        <f>DB31+DB36</f>
        <v>-5801535.3928943882</v>
      </c>
      <c r="DC45" s="49"/>
      <c r="DD45" s="53">
        <f>DD31+DD36</f>
        <v>85760.790000000154</v>
      </c>
      <c r="DE45" s="49"/>
      <c r="DF45" s="53">
        <f>DF31+DF36</f>
        <v>45367158.07743299</v>
      </c>
      <c r="DI45" s="48" t="s">
        <v>150</v>
      </c>
      <c r="DJ45" s="53">
        <f>DJ31+DJ36</f>
        <v>32907811.421588406</v>
      </c>
      <c r="DK45" s="50"/>
      <c r="DL45" s="53">
        <f>DL31+DL36</f>
        <v>2515120.0901788082</v>
      </c>
      <c r="DM45" s="49"/>
      <c r="DN45" s="167">
        <f>DN31+DN36</f>
        <v>-5121438.6399999997</v>
      </c>
      <c r="DO45" s="49"/>
      <c r="DP45" s="53">
        <f>DP31+DP36</f>
        <v>-7951281.9706295747</v>
      </c>
      <c r="DQ45" s="49"/>
      <c r="DR45" s="53">
        <f>DR31+DR36</f>
        <v>665377.30811579246</v>
      </c>
      <c r="DS45" s="49"/>
      <c r="DT45" s="53">
        <f>DT31+DT36</f>
        <v>23015588.20925343</v>
      </c>
      <c r="DW45" s="48" t="s">
        <v>150</v>
      </c>
      <c r="DX45" s="53">
        <f>DX31+DX36</f>
        <v>23580571.978299558</v>
      </c>
      <c r="DY45" s="50"/>
      <c r="DZ45" s="53">
        <f>DZ31+DZ36</f>
        <v>2350101.7030014312</v>
      </c>
      <c r="EA45" s="49"/>
      <c r="EB45" s="167">
        <f>EB31+EB36</f>
        <v>-4863097.1099999994</v>
      </c>
      <c r="EC45" s="49"/>
      <c r="ED45" s="53">
        <f>ED31+ED36</f>
        <v>-4164449.8315385636</v>
      </c>
      <c r="EE45" s="49"/>
      <c r="EF45" s="53">
        <f>EF31+EF36</f>
        <v>133053.85906833364</v>
      </c>
      <c r="EG45" s="49"/>
      <c r="EH45" s="53">
        <f>EH31+EH36</f>
        <v>17036180.598830745</v>
      </c>
      <c r="EK45" s="48" t="s">
        <v>150</v>
      </c>
      <c r="EL45" s="53">
        <f>EL31+EL36</f>
        <v>9101672.733238548</v>
      </c>
      <c r="EM45" s="50"/>
      <c r="EN45" s="53">
        <f>EN31+EN36</f>
        <v>2403469.3978611343</v>
      </c>
      <c r="EO45" s="49"/>
      <c r="EP45" s="167">
        <f>EP31+EP36</f>
        <v>-3650620.55</v>
      </c>
      <c r="EQ45" s="49"/>
      <c r="ER45" s="53">
        <f>ER31+ER36</f>
        <v>-4668917.7129899487</v>
      </c>
      <c r="ES45" s="49"/>
      <c r="ET45" s="53">
        <f>ET31+ET36</f>
        <v>-3056.6816806874704</v>
      </c>
      <c r="EU45" s="49"/>
      <c r="EV45" s="53">
        <f>EV31+EV36</f>
        <v>3182547.1864290461</v>
      </c>
      <c r="EY45" s="48" t="s">
        <v>150</v>
      </c>
      <c r="EZ45" s="53">
        <f>EZ31+EZ36</f>
        <v>29771706.528231919</v>
      </c>
      <c r="FA45" s="50"/>
      <c r="FB45" s="53">
        <f>FB31+FB36</f>
        <v>669135.70359004568</v>
      </c>
      <c r="FC45" s="49"/>
      <c r="FD45" s="167">
        <f>FD31+FD36</f>
        <v>-2028903.9700000002</v>
      </c>
      <c r="FE45" s="49"/>
      <c r="FF45" s="53">
        <f>FF31+FF36</f>
        <v>-3794734.2564998604</v>
      </c>
      <c r="FG45" s="49"/>
      <c r="FH45" s="53">
        <f>FH31+FH36</f>
        <v>10798.940164687345</v>
      </c>
      <c r="FI45" s="49"/>
      <c r="FJ45" s="53">
        <f>FJ31+FJ36</f>
        <v>24628002.945486784</v>
      </c>
      <c r="FM45" s="48" t="s">
        <v>150</v>
      </c>
      <c r="FN45" s="53">
        <f>FN31+FN36</f>
        <v>12805097.101345055</v>
      </c>
      <c r="FO45" s="50"/>
      <c r="FP45" s="53">
        <f>FP31+FP36</f>
        <v>547367.4252804881</v>
      </c>
      <c r="FQ45" s="49"/>
      <c r="FR45" s="167">
        <f>FR31+FR36</f>
        <v>-4141373.419999999</v>
      </c>
      <c r="FS45" s="49"/>
      <c r="FT45" s="53">
        <f>FT31+FT36</f>
        <v>-3730205.7517345631</v>
      </c>
      <c r="FU45" s="49"/>
      <c r="FV45" s="53">
        <f>FV31+FV36</f>
        <v>435344.62075454742</v>
      </c>
      <c r="FW45" s="49"/>
      <c r="FX45" s="53">
        <f>FX31+FX36</f>
        <v>5916229.9756455272</v>
      </c>
      <c r="GA45" s="48" t="s">
        <v>150</v>
      </c>
      <c r="GB45" s="53">
        <f>GB31+GB36</f>
        <v>6420791.3170730285</v>
      </c>
      <c r="GC45" s="50"/>
      <c r="GD45" s="53">
        <f>GD31+GD36</f>
        <v>1059959.101499998</v>
      </c>
      <c r="GE45" s="49"/>
      <c r="GF45" s="167">
        <f>GF31+GF36</f>
        <v>-1828636.8100000005</v>
      </c>
      <c r="GG45" s="49"/>
      <c r="GH45" s="53">
        <f>GH31+GH36</f>
        <v>-3512587.5752220899</v>
      </c>
      <c r="GI45" s="49"/>
      <c r="GJ45" s="53">
        <f>GJ31+GJ36</f>
        <v>47884.993529987056</v>
      </c>
      <c r="GK45" s="49"/>
      <c r="GL45" s="53">
        <f>GL31+GL36</f>
        <v>2187411.0268809274</v>
      </c>
      <c r="GO45" s="48" t="s">
        <v>150</v>
      </c>
      <c r="GP45" s="53">
        <f>GP31+GP36</f>
        <v>4357021.1903495006</v>
      </c>
      <c r="GQ45" s="50"/>
      <c r="GR45" s="53">
        <f>GR31+GR36</f>
        <v>1683320.9384999992</v>
      </c>
      <c r="GS45" s="49"/>
      <c r="GT45" s="167">
        <f>GT31+GT36</f>
        <v>-1688579.7599999993</v>
      </c>
      <c r="GU45" s="49"/>
      <c r="GV45" s="53">
        <f>GV31+GV36</f>
        <v>3066519.0133071369</v>
      </c>
      <c r="GW45" s="49"/>
      <c r="GX45" s="53">
        <f>GX31+GX36</f>
        <v>-9242.9043992892839</v>
      </c>
      <c r="GY45" s="49"/>
      <c r="GZ45" s="53">
        <f>GZ31+GZ36</f>
        <v>7409038.4777573496</v>
      </c>
      <c r="HC45" s="48" t="s">
        <v>150</v>
      </c>
      <c r="HD45" s="53">
        <f>HD31+HD36</f>
        <v>3973416.770000007</v>
      </c>
      <c r="HE45" s="50"/>
      <c r="HF45" s="53">
        <f>HF31+HF36</f>
        <v>1565758.83</v>
      </c>
      <c r="HG45" s="49"/>
      <c r="HH45" s="167">
        <f>HH31+HH36</f>
        <v>-1679254.61</v>
      </c>
      <c r="HI45" s="49"/>
      <c r="HJ45" s="53">
        <f>HJ31+HJ36</f>
        <v>-1666435.7405000001</v>
      </c>
      <c r="HK45" s="49"/>
      <c r="HL45" s="53">
        <f>HL31+HL36</f>
        <v>-88266.44688523165</v>
      </c>
      <c r="HM45" s="49"/>
      <c r="HN45" s="53">
        <f>HN31+HN36</f>
        <v>2105218.8026147783</v>
      </c>
      <c r="HQ45" s="48" t="s">
        <v>150</v>
      </c>
      <c r="HR45" s="53">
        <f>HR31+HR36</f>
        <v>6087245.8800000101</v>
      </c>
      <c r="HS45" s="50"/>
      <c r="HT45" s="53">
        <f>HT31+HT36</f>
        <v>1619872.2500000019</v>
      </c>
      <c r="HU45" s="49"/>
      <c r="HV45" s="167">
        <f>HV31+HV36</f>
        <v>-1089000.7400000007</v>
      </c>
      <c r="HW45" s="49"/>
      <c r="HX45" s="53">
        <f>HX31+HX36</f>
        <v>-1912554.7004999998</v>
      </c>
      <c r="HY45" s="49"/>
      <c r="HZ45" s="53">
        <f>HZ31+HZ36</f>
        <v>-87153.722439090372</v>
      </c>
      <c r="IA45" s="49"/>
      <c r="IB45" s="53">
        <f>IB31+IB36</f>
        <v>4618408.9670609236</v>
      </c>
      <c r="IE45" s="48" t="s">
        <v>150</v>
      </c>
      <c r="IF45" s="53">
        <f>IF31+IF36</f>
        <v>822192.13999999501</v>
      </c>
      <c r="IG45" s="50"/>
      <c r="IH45" s="53">
        <f>IH31+IH36</f>
        <v>1614761.9000000013</v>
      </c>
      <c r="II45" s="49"/>
      <c r="IJ45" s="167">
        <f>IJ31+IJ36</f>
        <v>-1929982.67</v>
      </c>
      <c r="IK45" s="49"/>
      <c r="IL45" s="53">
        <f>IL31+IL36</f>
        <v>-941160.28049999964</v>
      </c>
      <c r="IM45" s="49"/>
      <c r="IN45" s="53">
        <f>IN31+IN36</f>
        <v>-82958.481705974205</v>
      </c>
      <c r="IO45" s="49"/>
      <c r="IP45" s="53">
        <f>IP31+IP36</f>
        <v>-517147.39220597595</v>
      </c>
      <c r="IS45" s="48" t="s">
        <v>150</v>
      </c>
      <c r="IT45" s="53">
        <f>IT31+IT36</f>
        <v>4400705.2199999951</v>
      </c>
      <c r="IU45" s="50"/>
      <c r="IV45" s="53">
        <f>IV31+IV36</f>
        <v>1406147.6599999974</v>
      </c>
      <c r="IW45" s="49"/>
      <c r="IX45" s="167">
        <f>IX31+IX36</f>
        <v>-1142923.5399999998</v>
      </c>
      <c r="IY45" s="49"/>
      <c r="IZ45" s="53">
        <f>IZ31+IZ36</f>
        <v>-1805054.9605</v>
      </c>
      <c r="JA45" s="49"/>
      <c r="JB45" s="53">
        <f>JB31+JB36</f>
        <v>-88456.984441468143</v>
      </c>
      <c r="JC45" s="49"/>
      <c r="JD45" s="53">
        <f>JD31+JD36</f>
        <v>2770417.3950585276</v>
      </c>
      <c r="JG45" s="48" t="s">
        <v>150</v>
      </c>
      <c r="JH45" s="53">
        <f>JH31+JH36</f>
        <v>6032844.6300000027</v>
      </c>
      <c r="JI45" s="50"/>
      <c r="JJ45" s="53">
        <f>JJ31+JJ36</f>
        <v>729231.66000000015</v>
      </c>
      <c r="JK45" s="49"/>
      <c r="JL45" s="167">
        <f>JL31+JL36</f>
        <v>-986335.2300000001</v>
      </c>
      <c r="JM45" s="49"/>
      <c r="JN45" s="53">
        <f>JN31+JN36</f>
        <v>-1540773.7105</v>
      </c>
      <c r="JO45" s="49"/>
      <c r="JP45" s="53">
        <f>JP31+JP36</f>
        <v>80531.748586547677</v>
      </c>
      <c r="JQ45" s="49"/>
      <c r="JR45" s="53">
        <f>JR31+JR36</f>
        <v>4315499.0980865471</v>
      </c>
      <c r="JU45" s="48" t="s">
        <v>150</v>
      </c>
      <c r="JV45" s="53">
        <f>JV31+JV36</f>
        <v>5504191.3600000013</v>
      </c>
      <c r="JW45" s="50"/>
      <c r="JX45" s="53">
        <f>JX31+JX36</f>
        <v>1339286.2500000009</v>
      </c>
      <c r="JY45" s="49"/>
      <c r="JZ45" s="167">
        <f>JZ31+JZ36</f>
        <v>-916361.28999999922</v>
      </c>
      <c r="KA45" s="49"/>
      <c r="KB45" s="53">
        <f>KB31+KB36</f>
        <v>-2127899.1504999995</v>
      </c>
      <c r="KC45" s="49"/>
      <c r="KD45" s="53">
        <f>KD31+KD36</f>
        <v>60924.41847752023</v>
      </c>
      <c r="KE45" s="49"/>
      <c r="KF45" s="53">
        <f>KF31+KF36</f>
        <v>3860141.5879775248</v>
      </c>
      <c r="KI45" s="48" t="s">
        <v>150</v>
      </c>
      <c r="KJ45" s="53">
        <f>KJ31+KJ36</f>
        <v>2904156.0999999885</v>
      </c>
      <c r="KK45" s="50"/>
      <c r="KL45" s="53">
        <f>KL31+KL36</f>
        <v>1174695.8600000031</v>
      </c>
      <c r="KM45" s="49"/>
      <c r="KN45" s="167">
        <f>KN31+KN36</f>
        <v>-1103457.8500000001</v>
      </c>
      <c r="KO45" s="49"/>
      <c r="KP45" s="53">
        <f>KP31+KP36</f>
        <v>-1537624.0005000001</v>
      </c>
      <c r="KQ45" s="49"/>
      <c r="KR45" s="53">
        <f>KR31+KR36</f>
        <v>62649.997761950246</v>
      </c>
      <c r="KS45" s="49"/>
      <c r="KT45" s="53">
        <f>KT31+KT36</f>
        <v>1500420.1072619408</v>
      </c>
      <c r="KW45" s="48" t="s">
        <v>150</v>
      </c>
      <c r="KX45" s="53">
        <f>KX31+KX36</f>
        <v>4364201.7100000009</v>
      </c>
      <c r="KY45" s="50"/>
      <c r="KZ45" s="53">
        <f>KZ31+KZ36</f>
        <v>1661086.3800000027</v>
      </c>
      <c r="LA45" s="49"/>
      <c r="LB45" s="159">
        <f>LB31+LB36</f>
        <v>-1140998.3900000001</v>
      </c>
      <c r="LC45" s="49"/>
      <c r="LD45" s="53">
        <f>LD31+LD36</f>
        <v>-1554564.0205000003</v>
      </c>
      <c r="LE45" s="49"/>
      <c r="LF45" s="53">
        <f>LF31+LF36</f>
        <v>55331.545654947055</v>
      </c>
      <c r="LG45" s="49"/>
      <c r="LH45" s="53">
        <f>LH31+LH36</f>
        <v>3385057.2251549512</v>
      </c>
      <c r="LJ45" s="48" t="s">
        <v>150</v>
      </c>
      <c r="LK45" s="53">
        <f>LK31+LK36</f>
        <v>4117043.8400000036</v>
      </c>
      <c r="LL45" s="50"/>
      <c r="LM45" s="53">
        <f>LM31+LM36</f>
        <v>2059479.7599999988</v>
      </c>
      <c r="LN45" s="49"/>
      <c r="LO45" s="159">
        <f>LO31+LO36</f>
        <v>-1210291.9100000001</v>
      </c>
      <c r="LP45" s="166"/>
      <c r="LQ45" s="53">
        <f>LQ31+LQ36</f>
        <v>-1671157.7505000001</v>
      </c>
      <c r="LR45" s="49"/>
      <c r="LS45" s="53">
        <f>LS31+LS36</f>
        <v>-9266.8957400125219</v>
      </c>
      <c r="LT45" s="49"/>
      <c r="LU45" s="53">
        <f>LU31+LU36</f>
        <v>3285807.0437599868</v>
      </c>
      <c r="LV45" s="49"/>
      <c r="LW45" s="48" t="s">
        <v>150</v>
      </c>
      <c r="LX45" s="53">
        <f>LX31+LX36</f>
        <v>2831766.0799999945</v>
      </c>
      <c r="LY45" s="50"/>
      <c r="LZ45" s="53">
        <f>LZ31+LZ36</f>
        <v>1889653.5100000072</v>
      </c>
      <c r="MA45" s="49"/>
      <c r="MB45" s="167">
        <f>MB31+MB36</f>
        <v>-1324205.5999999992</v>
      </c>
      <c r="MC45" s="49"/>
      <c r="MD45" s="53">
        <f>MD31+MD36</f>
        <v>-3001683.3405000018</v>
      </c>
      <c r="ME45" s="49"/>
      <c r="MF45" s="53">
        <f>MF31+MF36</f>
        <v>73950.595000000205</v>
      </c>
      <c r="MG45" s="49"/>
      <c r="MH45" s="53">
        <f>MH31+MH36</f>
        <v>469481.24450000376</v>
      </c>
      <c r="MK45" s="48" t="s">
        <v>150</v>
      </c>
      <c r="ML45" s="53">
        <f>ML31+ML36</f>
        <v>1610457.1300000213</v>
      </c>
      <c r="MM45" s="50"/>
      <c r="MN45" s="53">
        <f>MN31+MN36</f>
        <v>1330435.7399999937</v>
      </c>
      <c r="MO45" s="49"/>
      <c r="MP45" s="167">
        <f>MP31+MP36</f>
        <v>-987257.30000000028</v>
      </c>
      <c r="MQ45" s="49"/>
      <c r="MR45" s="53">
        <f>MR31+MR36</f>
        <v>-1826045.9558929196</v>
      </c>
      <c r="MS45" s="49"/>
      <c r="MT45" s="53">
        <f>MT31+MT36</f>
        <v>81019.714999999851</v>
      </c>
      <c r="MU45" s="49"/>
      <c r="MV45" s="53">
        <f>MV31+MV36</f>
        <v>208609.32910709456</v>
      </c>
      <c r="MY45" s="48" t="s">
        <v>150</v>
      </c>
      <c r="MZ45" s="53">
        <f>MZ31+MZ36</f>
        <v>3054215.0899999924</v>
      </c>
      <c r="NA45" s="50"/>
      <c r="NB45" s="53">
        <f>NB31+NB36</f>
        <v>1449816.6800000016</v>
      </c>
      <c r="NC45" s="49"/>
      <c r="ND45" s="159">
        <f>ND31+ND36</f>
        <v>-513801.69999999972</v>
      </c>
      <c r="NE45" s="49"/>
      <c r="NF45" s="53">
        <f>NF31+NF36</f>
        <v>-2464953.2304999996</v>
      </c>
      <c r="NG45" s="49"/>
      <c r="NH45" s="53">
        <f>NH31+NH36</f>
        <v>69862.475000000675</v>
      </c>
      <c r="NI45" s="49"/>
      <c r="NJ45" s="53">
        <f>NJ31+NJ36</f>
        <v>1595139.3144999966</v>
      </c>
      <c r="NL45" s="48" t="s">
        <v>150</v>
      </c>
      <c r="NM45" s="53">
        <f>NM31+NM36</f>
        <v>11552064.699999996</v>
      </c>
      <c r="NN45" s="50"/>
      <c r="NO45" s="53">
        <f>NO31+NO36</f>
        <v>1169597.5999999996</v>
      </c>
      <c r="NP45" s="49"/>
      <c r="NQ45" s="159">
        <f>NQ31+NQ36</f>
        <v>-684638.23</v>
      </c>
      <c r="NR45" s="166"/>
      <c r="NS45" s="53">
        <f>NS31+NS36</f>
        <v>-1601666.6251070802</v>
      </c>
      <c r="NT45" s="49"/>
      <c r="NU45" s="53">
        <f>NU31+NU36</f>
        <v>6497.3449999996228</v>
      </c>
      <c r="NV45" s="49"/>
      <c r="NW45" s="53">
        <f>NW31+NW36</f>
        <v>10441854.789892919</v>
      </c>
      <c r="NY45" s="48" t="s">
        <v>150</v>
      </c>
      <c r="NZ45" s="146">
        <f>NZ31+NZ36</f>
        <v>2114220.1199999936</v>
      </c>
      <c r="OA45" s="145"/>
      <c r="OB45" s="146">
        <f>OB31+OB36</f>
        <v>2270583.9799999911</v>
      </c>
      <c r="OC45" s="144"/>
      <c r="OD45" s="162">
        <f>OD31+OD36</f>
        <v>-956871.00000000012</v>
      </c>
      <c r="OE45" s="144"/>
      <c r="OF45" s="146">
        <f>OF31+OF36</f>
        <v>-3702980.7405000036</v>
      </c>
      <c r="OG45" s="144"/>
      <c r="OH45" s="146">
        <f>OH31+OH36</f>
        <v>-332435.32254165481</v>
      </c>
      <c r="OI45" s="144"/>
      <c r="OJ45" s="146">
        <f>OJ31+OJ36</f>
        <v>-607482.96304167062</v>
      </c>
      <c r="OL45" s="48" t="s">
        <v>150</v>
      </c>
      <c r="OM45" s="53">
        <f>OM31+OM36</f>
        <v>-464458.16999999806</v>
      </c>
      <c r="ON45" s="50"/>
      <c r="OO45" s="53">
        <f>OO31+OO36</f>
        <v>612954.71000000555</v>
      </c>
      <c r="OP45" s="49"/>
      <c r="OQ45" s="132">
        <f>OQ31+OQ36</f>
        <v>0</v>
      </c>
      <c r="OR45" s="53"/>
      <c r="OS45" s="53">
        <f>OS31+OS36</f>
        <v>1542059.4806000018</v>
      </c>
      <c r="OT45" s="49"/>
      <c r="OU45" s="53">
        <f>OU31+OU36</f>
        <v>-36763.778124999255</v>
      </c>
      <c r="OV45" s="49"/>
      <c r="OW45" s="53">
        <f>OW31+OW36</f>
        <v>1653792.2424750105</v>
      </c>
      <c r="OY45" s="48" t="s">
        <v>150</v>
      </c>
      <c r="OZ45" s="53">
        <f>OZ31+OZ36</f>
        <v>100385.26999998698</v>
      </c>
      <c r="PA45" s="50"/>
      <c r="PB45" s="53">
        <f>PB31+PB36</f>
        <v>1219578.0199999972</v>
      </c>
      <c r="PC45" s="49"/>
      <c r="PD45" s="132">
        <f>PD31+PD36</f>
        <v>0</v>
      </c>
      <c r="PE45" s="53"/>
      <c r="PF45" s="53">
        <f>PF31+PF36</f>
        <v>6351652.0896666655</v>
      </c>
      <c r="PG45" s="49"/>
      <c r="PH45" s="53">
        <f>PH31+PH36</f>
        <v>-222175.10737500223</v>
      </c>
      <c r="PI45" s="49"/>
      <c r="PJ45" s="53">
        <f>PJ31+PJ36</f>
        <v>7449440.2722916482</v>
      </c>
      <c r="PL45" s="48" t="s">
        <v>150</v>
      </c>
      <c r="PM45" s="53">
        <f>PM31+PM36</f>
        <v>4231228.8100000061</v>
      </c>
      <c r="PN45" s="50"/>
      <c r="PO45" s="53">
        <f>PO31+PO36</f>
        <v>967347.68000000063</v>
      </c>
      <c r="PP45" s="49"/>
      <c r="PQ45" s="132">
        <f>PQ31+PQ36</f>
        <v>0</v>
      </c>
      <c r="PR45" s="53"/>
      <c r="PS45" s="53">
        <f>PS31+PS36</f>
        <v>-1158162.0999999992</v>
      </c>
      <c r="PT45" s="49"/>
      <c r="PU45" s="53">
        <f>PU31+PU36</f>
        <v>3564.2441250015981</v>
      </c>
      <c r="PV45" s="49"/>
      <c r="PW45" s="53">
        <f>PW31+PW36</f>
        <v>4043978.6341250166</v>
      </c>
      <c r="PY45" s="48" t="s">
        <v>150</v>
      </c>
      <c r="PZ45" s="53">
        <f>PZ31+PZ36</f>
        <v>-29936.39000000339</v>
      </c>
      <c r="QA45" s="50"/>
      <c r="QB45" s="53">
        <f>QB31+QB36</f>
        <v>1319768.2100000023</v>
      </c>
      <c r="QC45" s="49"/>
      <c r="QD45" s="53">
        <f>QD31+QD36</f>
        <v>-35157.030000000028</v>
      </c>
      <c r="QE45" s="53"/>
      <c r="QF45" s="53">
        <f>QF31+QF36</f>
        <v>-635865.52</v>
      </c>
      <c r="QG45" s="49"/>
      <c r="QH45" s="53">
        <f>QH31+QH36</f>
        <v>35667.026083332719</v>
      </c>
      <c r="QI45" s="49"/>
      <c r="QJ45" s="53">
        <f>QJ31+QJ36</f>
        <v>654476.29608333111</v>
      </c>
      <c r="QL45" s="48" t="s">
        <v>150</v>
      </c>
      <c r="QM45" s="53">
        <f>QM31+QM36</f>
        <v>218556.47000000067</v>
      </c>
      <c r="QN45" s="50"/>
      <c r="QO45" s="53">
        <f>QO31+QO36</f>
        <v>1328630.830000001</v>
      </c>
      <c r="QP45" s="49"/>
      <c r="QQ45" s="53">
        <f>QQ31+QQ36</f>
        <v>4694.140000000014</v>
      </c>
      <c r="QR45" s="53"/>
      <c r="QS45" s="53">
        <f>QS31+QS36</f>
        <v>-927515.12999999989</v>
      </c>
      <c r="QT45" s="49"/>
      <c r="QU45" s="53">
        <f>QU31+QU36</f>
        <v>-127472.29999999935</v>
      </c>
      <c r="QV45" s="49"/>
      <c r="QW45" s="53">
        <f>QW31+QW36</f>
        <v>496894.00999999978</v>
      </c>
      <c r="QY45" s="48" t="s">
        <v>150</v>
      </c>
      <c r="QZ45" s="53">
        <f>QZ31+QZ36</f>
        <v>14160.829999999609</v>
      </c>
      <c r="RA45" s="50"/>
      <c r="RB45" s="53">
        <f>RB31+RB36</f>
        <v>903417.18999999948</v>
      </c>
      <c r="RC45" s="49"/>
      <c r="RD45" s="53">
        <f>RD31+RD36</f>
        <v>-80942.039999999921</v>
      </c>
      <c r="RE45" s="53"/>
      <c r="RF45" s="53">
        <f>RF31+RF36</f>
        <v>-528476.69999999972</v>
      </c>
      <c r="RG45" s="49"/>
      <c r="RH45" s="53">
        <f>RH31+RH36</f>
        <v>-67179.260000000824</v>
      </c>
      <c r="RI45" s="49"/>
      <c r="RJ45" s="146">
        <f>RJ31+RJ36</f>
        <v>240980.01999999862</v>
      </c>
      <c r="RL45" s="48" t="s">
        <v>150</v>
      </c>
      <c r="RM45" s="53">
        <f>RM31+RM36</f>
        <v>255548.06000000797</v>
      </c>
      <c r="RN45" s="50"/>
      <c r="RO45" s="53">
        <f>RO31+RO36</f>
        <v>1433053.8000000017</v>
      </c>
      <c r="RP45" s="49"/>
      <c r="RQ45" s="53">
        <f>RQ31+RQ36</f>
        <v>-66546.969999999506</v>
      </c>
      <c r="RR45" s="53"/>
      <c r="RS45" s="53">
        <f>RS31+RS36</f>
        <v>596496.18000000156</v>
      </c>
      <c r="RT45" s="49"/>
      <c r="RU45" s="53">
        <f>RU31+RU36</f>
        <v>-1095118.6900000027</v>
      </c>
      <c r="RV45" s="49"/>
      <c r="RW45" s="53">
        <f>RW31+RW36</f>
        <v>1123432.3800000083</v>
      </c>
      <c r="RY45" s="48" t="s">
        <v>150</v>
      </c>
      <c r="RZ45" s="53">
        <f>RZ31+RZ36</f>
        <v>534638.13999999687</v>
      </c>
      <c r="SA45" s="50"/>
      <c r="SB45" s="53">
        <f>SB31+SB36</f>
        <v>1252583.4700000011</v>
      </c>
      <c r="SC45" s="49"/>
      <c r="SD45" s="53">
        <f>SD31+SD36</f>
        <v>-310730.34000000043</v>
      </c>
      <c r="SE45" s="53">
        <f>SE31+SE36</f>
        <v>0</v>
      </c>
      <c r="SF45" s="53">
        <f>SF31+SF36</f>
        <v>-691601.69</v>
      </c>
      <c r="SG45" s="49"/>
      <c r="SH45" s="53">
        <f>SH31+SH36</f>
        <v>-165327.16000000003</v>
      </c>
      <c r="SI45" s="49"/>
      <c r="SJ45" s="53">
        <f>SJ31+SJ36</f>
        <v>619562.41999999806</v>
      </c>
      <c r="SL45" s="48" t="s">
        <v>150</v>
      </c>
      <c r="SM45" s="53">
        <f>SM31+SM36</f>
        <v>379576.54999999981</v>
      </c>
      <c r="SN45" s="50"/>
      <c r="SO45" s="53">
        <f>SO31+SO36</f>
        <v>1033931.8599999994</v>
      </c>
      <c r="SP45" s="49"/>
      <c r="SQ45" s="53">
        <f>SQ31+SQ36</f>
        <v>-54760.889999999898</v>
      </c>
      <c r="SR45" s="53">
        <f>SR31+SR36</f>
        <v>0</v>
      </c>
      <c r="SS45" s="53">
        <f>SS31+SS36</f>
        <v>-100478.95000000042</v>
      </c>
      <c r="ST45" s="49"/>
      <c r="SU45" s="53">
        <f>SU31+SU36</f>
        <v>-909062.57999999961</v>
      </c>
      <c r="SV45" s="49"/>
      <c r="SW45" s="53">
        <f>SW31+SW36</f>
        <v>349205.99000000022</v>
      </c>
      <c r="SY45" s="48" t="s">
        <v>150</v>
      </c>
      <c r="SZ45" s="53">
        <f>SZ31+SZ36</f>
        <v>-34560.080000001006</v>
      </c>
      <c r="TA45" s="50"/>
      <c r="TB45" s="53">
        <f>TB31+TB36</f>
        <v>775172.13999999966</v>
      </c>
      <c r="TC45" s="49"/>
      <c r="TD45" s="53">
        <f>TD31+TD36</f>
        <v>81655.279999999912</v>
      </c>
      <c r="TE45" s="53">
        <f>TE31+TE36</f>
        <v>0</v>
      </c>
      <c r="TF45" s="53">
        <f>TF31+TF36</f>
        <v>-767570.49999999977</v>
      </c>
      <c r="TG45" s="49"/>
      <c r="TH45" s="53">
        <f>TH31+TH36</f>
        <v>-18821.710000000079</v>
      </c>
      <c r="TI45" s="49"/>
      <c r="TJ45" s="53">
        <f>TJ31+TJ36</f>
        <v>35875.129999998026</v>
      </c>
      <c r="TL45" s="48" t="s">
        <v>150</v>
      </c>
      <c r="TM45" s="53">
        <f>TM31+TM36</f>
        <v>1726808.6500000097</v>
      </c>
      <c r="TN45" s="50"/>
      <c r="TO45" s="53">
        <f>TO31+TO36</f>
        <v>-38231.770000002347</v>
      </c>
      <c r="TP45" s="49"/>
      <c r="TQ45" s="53">
        <f>TQ31+TQ36</f>
        <v>-166779.94000000018</v>
      </c>
      <c r="TR45" s="53">
        <f>TR31+TR36</f>
        <v>0</v>
      </c>
      <c r="TS45" s="53">
        <f>TS31+TS36</f>
        <v>-757341.55999999447</v>
      </c>
      <c r="TT45" s="49"/>
      <c r="TU45" s="53">
        <f>TU31+TU36</f>
        <v>-79273.429999998305</v>
      </c>
      <c r="TV45" s="49"/>
      <c r="TW45" s="53">
        <f>TW31+TW36</f>
        <v>685181.95000001416</v>
      </c>
      <c r="TY45" s="48" t="s">
        <v>150</v>
      </c>
      <c r="TZ45" s="53">
        <f>TZ31+TZ36</f>
        <v>2804380.7599999979</v>
      </c>
      <c r="UA45" s="50"/>
      <c r="UB45" s="53">
        <f>UB31+UB36</f>
        <v>399256.34000000311</v>
      </c>
      <c r="UC45" s="49"/>
      <c r="UD45" s="53">
        <f>UD31+UD36</f>
        <v>159616</v>
      </c>
      <c r="UE45" s="53">
        <f>UE31+UE36</f>
        <v>0</v>
      </c>
      <c r="UF45" s="53">
        <f>UF31+UF36</f>
        <v>-1145891.259999997</v>
      </c>
      <c r="UG45" s="49"/>
      <c r="UH45" s="53">
        <f>UH31+UH36</f>
        <v>-30782.199999995762</v>
      </c>
      <c r="UI45" s="49"/>
      <c r="UJ45" s="53">
        <f>UJ31+UJ36</f>
        <v>2186579.640000008</v>
      </c>
      <c r="UL45" s="48" t="s">
        <v>150</v>
      </c>
      <c r="UM45" s="53">
        <f>UM31+UM36</f>
        <v>-1574913.4099999992</v>
      </c>
      <c r="UN45" s="50"/>
      <c r="UO45" s="53">
        <f>UO31+UO36</f>
        <v>236525.99999999907</v>
      </c>
      <c r="UP45" s="49"/>
      <c r="UQ45" s="53">
        <f>UQ31+UQ36</f>
        <v>37514.009999999893</v>
      </c>
      <c r="UR45" s="53">
        <f>UR31+UR36</f>
        <v>0</v>
      </c>
      <c r="US45" s="53">
        <f>US31+US36</f>
        <v>-1266792.6100000003</v>
      </c>
      <c r="UT45" s="49"/>
      <c r="UU45" s="53">
        <f>UU31+UU36</f>
        <v>-59264.900000000373</v>
      </c>
      <c r="UV45" s="49"/>
      <c r="UW45" s="53">
        <f>UW31+UW36</f>
        <v>-2626930.9100000029</v>
      </c>
      <c r="UY45" s="48" t="s">
        <v>150</v>
      </c>
      <c r="UZ45" s="53">
        <f>UZ31+UZ36</f>
        <v>388270.63000000082</v>
      </c>
      <c r="VA45" s="50"/>
      <c r="VB45" s="53">
        <f>VB31+VB36</f>
        <v>11692.629999999888</v>
      </c>
      <c r="VC45" s="49"/>
      <c r="VD45" s="53">
        <f>VD31+VD36</f>
        <v>-85500.530000000028</v>
      </c>
      <c r="VE45" s="53">
        <f>VE31+VE36</f>
        <v>0</v>
      </c>
      <c r="VF45" s="53">
        <f>VF31+VF36</f>
        <v>-1099901.6000000001</v>
      </c>
      <c r="VG45" s="49"/>
      <c r="VH45" s="53">
        <f>VH31+VH36</f>
        <v>-28615.589999999851</v>
      </c>
      <c r="VI45" s="49"/>
      <c r="VJ45" s="53">
        <f>VJ31+VJ36</f>
        <v>-814054.45999999717</v>
      </c>
      <c r="VL45" s="48" t="s">
        <v>150</v>
      </c>
      <c r="VM45" s="53">
        <f>VM31+VM36</f>
        <v>4989506.6199999973</v>
      </c>
      <c r="VN45" s="50"/>
      <c r="VO45" s="53">
        <f>VO31+VO36</f>
        <v>-945.59794006729499</v>
      </c>
      <c r="VP45" s="49"/>
      <c r="VQ45" s="53">
        <f>VQ31+VQ36</f>
        <v>503969.14999999921</v>
      </c>
      <c r="VR45" s="53">
        <f>VR31+VR36</f>
        <v>0</v>
      </c>
      <c r="VS45" s="53">
        <f>VS31+VS36</f>
        <v>-2418755.6700000004</v>
      </c>
      <c r="VT45" s="49"/>
      <c r="VU45" s="53">
        <f>VU31+VU36</f>
        <v>-968497.69999999693</v>
      </c>
      <c r="VV45" s="49"/>
      <c r="VW45" s="53">
        <f>VW31+VW36</f>
        <v>2105276.8020599298</v>
      </c>
      <c r="VY45" s="48" t="s">
        <v>150</v>
      </c>
      <c r="VZ45" s="53">
        <f>VZ31+VZ36</f>
        <v>269190.51706620492</v>
      </c>
      <c r="WA45" s="50"/>
      <c r="WB45" s="53">
        <f>WB31+WB36</f>
        <v>1527419.3379400657</v>
      </c>
      <c r="WC45" s="49"/>
      <c r="WD45" s="53">
        <f>WD31+WD36</f>
        <v>73919.259999999544</v>
      </c>
      <c r="WE45" s="53">
        <f>WE31+WE36</f>
        <v>0</v>
      </c>
      <c r="WF45" s="53">
        <f>WF31+WF36</f>
        <v>-599639.64999999991</v>
      </c>
      <c r="WG45" s="49"/>
      <c r="WH45" s="53">
        <f>WH31+WH36</f>
        <v>0</v>
      </c>
      <c r="WI45" s="49"/>
      <c r="WJ45" s="53">
        <f>WJ31+WJ36</f>
        <v>1270889.465006277</v>
      </c>
      <c r="WL45" s="48" t="s">
        <v>150</v>
      </c>
      <c r="WM45" s="53">
        <f>WM31+WM36</f>
        <v>1034628.4429337941</v>
      </c>
      <c r="WN45" s="50"/>
      <c r="WO45" s="53">
        <f>WO31+WO36</f>
        <v>1205952.08</v>
      </c>
      <c r="WP45" s="49"/>
      <c r="WQ45" s="53">
        <f>WQ31+WQ36</f>
        <v>94678.530000000261</v>
      </c>
      <c r="WR45" s="53">
        <f>WR31+WR36</f>
        <v>0</v>
      </c>
      <c r="WS45" s="53">
        <f>WS31+WS36</f>
        <v>-865133.76646689745</v>
      </c>
      <c r="WT45" s="49"/>
      <c r="WU45" s="53">
        <f>WU31+WU36</f>
        <v>-361247.0199999999</v>
      </c>
      <c r="WV45" s="49"/>
      <c r="WW45" s="53">
        <f>WW31+WW36</f>
        <v>1108878.266466897</v>
      </c>
      <c r="WY45" s="48" t="s">
        <v>150</v>
      </c>
      <c r="WZ45" s="53">
        <f>WZ31+WZ36</f>
        <v>-667463.35000000056</v>
      </c>
      <c r="XA45" s="50"/>
      <c r="XB45" s="53">
        <f>XB31+XB36</f>
        <v>1103066.7400000002</v>
      </c>
      <c r="XC45" s="49"/>
      <c r="XD45" s="53">
        <f>XD31+XD36</f>
        <v>195589.2100000002</v>
      </c>
      <c r="XE45" s="53">
        <f>XE31+XE36</f>
        <v>0</v>
      </c>
      <c r="XF45" s="53">
        <f>XF31+XF36</f>
        <v>-720039.58353310311</v>
      </c>
      <c r="XG45" s="49"/>
      <c r="XH45" s="53">
        <f>XH31+XH36</f>
        <v>361247.02</v>
      </c>
      <c r="XI45" s="49"/>
      <c r="XJ45" s="53">
        <f>XJ31+XJ36</f>
        <v>272400.03646689653</v>
      </c>
      <c r="XL45" s="48" t="s">
        <v>150</v>
      </c>
      <c r="XM45" s="53">
        <f>XM31+XM36</f>
        <v>6151647.1377091855</v>
      </c>
      <c r="XN45" s="50"/>
      <c r="XO45" s="53">
        <f>XO31+XO36</f>
        <v>2152629.6400000006</v>
      </c>
      <c r="XP45" s="49"/>
      <c r="XQ45" s="53">
        <f>XQ31+XQ36</f>
        <v>-48452.089999999851</v>
      </c>
      <c r="XR45" s="53">
        <f>XR31+XR36</f>
        <v>0</v>
      </c>
      <c r="XS45" s="53">
        <f>XS31+XS36</f>
        <v>-1289070.8907266445</v>
      </c>
      <c r="XT45" s="49"/>
      <c r="XU45" s="53">
        <f>XU31+XU36</f>
        <v>-1529558.9657862289</v>
      </c>
      <c r="XV45" s="49"/>
      <c r="XW45" s="53">
        <f>XW31+XW36</f>
        <v>5437194.8311963156</v>
      </c>
      <c r="XY45" s="48"/>
      <c r="XZ45" s="53"/>
      <c r="YA45" s="50"/>
      <c r="YB45" s="53"/>
      <c r="YC45" s="49"/>
      <c r="YD45" s="53"/>
      <c r="YE45" s="53"/>
      <c r="YF45" s="53"/>
      <c r="YG45" s="49"/>
      <c r="YH45" s="53"/>
      <c r="YI45" s="49"/>
      <c r="YJ45" s="53"/>
    </row>
    <row r="46" spans="1:660">
      <c r="A46" s="45" t="s">
        <v>62</v>
      </c>
      <c r="B46" s="43"/>
      <c r="F46" s="43"/>
      <c r="O46" s="45" t="s">
        <v>62</v>
      </c>
      <c r="P46" s="43"/>
      <c r="T46" s="43"/>
      <c r="AC46" s="45" t="s">
        <v>62</v>
      </c>
      <c r="AD46" s="43"/>
      <c r="AH46" s="43"/>
      <c r="AQ46" s="45" t="s">
        <v>62</v>
      </c>
      <c r="AR46" s="43">
        <f>AR20</f>
        <v>-2156093.0129415463</v>
      </c>
      <c r="AT46" s="43">
        <f>AT20</f>
        <v>-889963.47716343089</v>
      </c>
      <c r="AV46" s="43">
        <f>AV20</f>
        <v>-337360.74999999977</v>
      </c>
      <c r="AX46" s="43">
        <f>AX20</f>
        <v>-1654221.4066354292</v>
      </c>
      <c r="AZ46" s="43">
        <f>AZ20</f>
        <v>47460.42</v>
      </c>
      <c r="BB46" s="43">
        <f>SUM(AR46:AZ46)</f>
        <v>-4990178.2267404068</v>
      </c>
      <c r="BE46" s="45" t="s">
        <v>62</v>
      </c>
      <c r="BF46" s="43">
        <f t="shared" ref="BF46" si="360">BF20-BT20</f>
        <v>-1997086.884523707</v>
      </c>
      <c r="BH46" s="43">
        <f t="shared" ref="BH46" si="361">BH20-BV20</f>
        <v>-863246.79841185594</v>
      </c>
      <c r="BJ46" s="43">
        <f t="shared" ref="BJ46" si="362">BJ20-BX20</f>
        <v>-320926.78999999457</v>
      </c>
      <c r="BL46" s="43">
        <f t="shared" ref="BL46" si="363">BL20-BZ20</f>
        <v>-1616821.4869381823</v>
      </c>
      <c r="BN46" s="43">
        <f t="shared" ref="BN46" si="364">BN20-CB20</f>
        <v>130275.85999999999</v>
      </c>
      <c r="BP46" s="43">
        <f>SUM(BF46:BN46)</f>
        <v>-4667806.0998737393</v>
      </c>
      <c r="BS46" s="45" t="s">
        <v>62</v>
      </c>
      <c r="BT46" s="43">
        <f t="shared" ref="BT46" si="365">BT20-CH20</f>
        <v>-1218090.2267154045</v>
      </c>
      <c r="BV46" s="43">
        <f t="shared" ref="BV46" si="366">BV20-CJ20</f>
        <v>-848131.81719604786</v>
      </c>
      <c r="BX46" s="43">
        <f t="shared" ref="BX46" si="367">BX20-CL20</f>
        <v>-294659.6700000047</v>
      </c>
      <c r="BZ46" s="43">
        <f t="shared" ref="BZ46" si="368">BZ20-CN20</f>
        <v>-1619857.1696363813</v>
      </c>
      <c r="CB46" s="43">
        <f t="shared" ref="CB46" si="369">CB20-CP20</f>
        <v>48605.78846616573</v>
      </c>
      <c r="CD46" s="43">
        <f>SUM(BT46:CB46)</f>
        <v>-3932133.0950816725</v>
      </c>
      <c r="CG46" s="45" t="s">
        <v>62</v>
      </c>
      <c r="CH46" s="43">
        <f t="shared" ref="CH46" si="370">CH20-CV20</f>
        <v>-1284558.0053055147</v>
      </c>
      <c r="CJ46" s="43">
        <f t="shared" ref="CJ46" si="371">CJ20-CX20</f>
        <v>-851280.11719604803</v>
      </c>
      <c r="CL46" s="43">
        <f t="shared" ref="CL46" si="372">CL20-CZ20</f>
        <v>-280530.49000000063</v>
      </c>
      <c r="CN46" s="43">
        <f t="shared" ref="CN46" si="373">CN20-DB20</f>
        <v>-1619119.1787000473</v>
      </c>
      <c r="CP46" s="43">
        <f t="shared" ref="CP46" si="374">CP20-DD20</f>
        <v>48605.791533834265</v>
      </c>
      <c r="CR46" s="43">
        <f>SUM(CH46:CP46)</f>
        <v>-3986881.9996677767</v>
      </c>
      <c r="CU46" s="45" t="s">
        <v>62</v>
      </c>
      <c r="CV46" s="43">
        <f>CV20</f>
        <v>-1221865.8934553736</v>
      </c>
      <c r="CX46" s="43">
        <f>CX20</f>
        <v>-845248.16719604807</v>
      </c>
      <c r="CZ46" s="43">
        <f>CZ20</f>
        <v>-276830.58000000013</v>
      </c>
      <c r="DB46" s="43">
        <f>DB20</f>
        <v>-1650906.4047253893</v>
      </c>
      <c r="DD46" s="43">
        <f>DD20</f>
        <v>48605.79</v>
      </c>
      <c r="DF46" s="43">
        <f>SUM(CV46:DD46)</f>
        <v>-3946245.2553768111</v>
      </c>
      <c r="DI46" s="45" t="s">
        <v>62</v>
      </c>
      <c r="DJ46" s="43">
        <f t="shared" ref="DJ46" si="375">DJ20-DX20</f>
        <v>-1089926.2766532232</v>
      </c>
      <c r="DL46" s="43">
        <f t="shared" ref="DL46" si="376">DL20-DZ20</f>
        <v>-848881.17492090585</v>
      </c>
      <c r="DN46" s="43">
        <f t="shared" ref="DN46" si="377">DN20-EB20</f>
        <v>-294213.76000000257</v>
      </c>
      <c r="DP46" s="43">
        <f t="shared" ref="DP46" si="378">DP20-ED20</f>
        <v>-1708787.3180494336</v>
      </c>
      <c r="DR46" s="43">
        <f t="shared" ref="DR46" si="379">DR20-EF20</f>
        <v>48605.785250000015</v>
      </c>
      <c r="DT46" s="43">
        <f>SUM(DJ46:DR46)</f>
        <v>-3893202.7443735651</v>
      </c>
      <c r="DW46" s="45" t="s">
        <v>62</v>
      </c>
      <c r="DX46" s="43">
        <f t="shared" ref="DX46" si="380">DX20-EL20</f>
        <v>-1273328.1117263366</v>
      </c>
      <c r="DZ46" s="43">
        <f t="shared" ref="DZ46" si="381">DZ20-EN20</f>
        <v>-789251.76112726331</v>
      </c>
      <c r="EB46" s="43">
        <f t="shared" ref="EB46" si="382">EB20-EP20</f>
        <v>-290531.2300000001</v>
      </c>
      <c r="ED46" s="43">
        <f t="shared" ref="ED46" si="383">ED20-ER20</f>
        <v>-1511497.107052282</v>
      </c>
      <c r="EF46" s="43">
        <f t="shared" ref="EF46" si="384">EF20-ET20</f>
        <v>48605.785249999986</v>
      </c>
      <c r="EH46" s="43">
        <f>SUM(DX46:EF46)</f>
        <v>-3816002.4246558817</v>
      </c>
      <c r="EK46" s="45" t="s">
        <v>62</v>
      </c>
      <c r="EL46" s="43">
        <f t="shared" ref="EL46" si="385">EL20-EZ20</f>
        <v>-647185.19494999968</v>
      </c>
      <c r="EN46" s="43">
        <f t="shared" ref="EN46" si="386">EN20-FB20</f>
        <v>-868811.8033097873</v>
      </c>
      <c r="EP46" s="43">
        <f t="shared" ref="EP46" si="387">EP20-FD20</f>
        <v>-307913.70999999944</v>
      </c>
      <c r="ER46" s="43">
        <f t="shared" ref="ER46" si="388">ER20-FF20</f>
        <v>-1878982.2501843714</v>
      </c>
      <c r="ET46" s="43">
        <f t="shared" ref="ET46" si="389">ET20-FH20</f>
        <v>48123.715250000016</v>
      </c>
      <c r="EV46" s="43">
        <f>SUM(EL46:ET46)</f>
        <v>-3654769.2431941577</v>
      </c>
      <c r="EY46" s="45" t="s">
        <v>62</v>
      </c>
      <c r="EZ46" s="43">
        <f t="shared" ref="EZ46" si="390">EZ20</f>
        <v>-571585.79293477559</v>
      </c>
      <c r="FB46" s="43">
        <f t="shared" ref="FB46" si="391">FB20</f>
        <v>-792757.17640995351</v>
      </c>
      <c r="FD46" s="43">
        <f t="shared" ref="FD46" si="392">FD20</f>
        <v>-295109.06</v>
      </c>
      <c r="FF46" s="43">
        <f t="shared" ref="FF46" si="393">FF20</f>
        <v>-1801219.3464998596</v>
      </c>
      <c r="FH46" s="43">
        <f t="shared" ref="FH46" si="394">FH20</f>
        <v>46578.595250000006</v>
      </c>
      <c r="FJ46" s="43">
        <f>SUM(EZ46:FH46)</f>
        <v>-3414092.7805945887</v>
      </c>
      <c r="FM46" s="45" t="s">
        <v>62</v>
      </c>
      <c r="FN46" s="43">
        <f>FN20-GB20</f>
        <v>-734386.33831036091</v>
      </c>
      <c r="FP46" s="43">
        <f>FP20-GD20</f>
        <v>-617452.57074999996</v>
      </c>
      <c r="FR46" s="43">
        <f>FR20-GF20</f>
        <v>-292858.29000000213</v>
      </c>
      <c r="FT46" s="43">
        <f>FT20-GH20</f>
        <v>-1795484.0104371402</v>
      </c>
      <c r="FV46" s="43">
        <f>FV20-GJ20</f>
        <v>-127053.94822971988</v>
      </c>
      <c r="FX46" s="43">
        <f>SUM(FN46:FV46)</f>
        <v>-3567235.1577272229</v>
      </c>
      <c r="GA46" s="45" t="s">
        <v>62</v>
      </c>
      <c r="GB46" s="43">
        <f>GB20-GP20</f>
        <v>-528425.91</v>
      </c>
      <c r="GD46" s="43">
        <f>GD20-GR20</f>
        <v>-607622.46075000032</v>
      </c>
      <c r="GF46" s="43">
        <f>GF20-GT20</f>
        <v>-308195.05999999994</v>
      </c>
      <c r="GH46" s="43">
        <f>GH20-GV20</f>
        <v>-1711921.9527310934</v>
      </c>
      <c r="GJ46" s="43">
        <f>GJ20-GX20</f>
        <v>-229518.08288776979</v>
      </c>
      <c r="GL46" s="43">
        <f>SUM(GB46:GJ46)</f>
        <v>-3385683.4663688634</v>
      </c>
      <c r="GO46" s="45" t="s">
        <v>62</v>
      </c>
      <c r="GP46" s="43">
        <f>GP20-HD20</f>
        <v>-496821.09999999951</v>
      </c>
      <c r="GR46" s="43">
        <f>GR20-HF20</f>
        <v>-639579.82150000019</v>
      </c>
      <c r="GT46" s="43">
        <f>GT20-HH20</f>
        <v>-321279.62999999966</v>
      </c>
      <c r="GV46" s="43">
        <f>GV20-HJ20</f>
        <v>-1318856.6402679873</v>
      </c>
      <c r="GX46" s="43">
        <f>GX20-HL20</f>
        <v>-229892.41071678896</v>
      </c>
      <c r="GZ46" s="43">
        <f>SUM(GP46:GX46)</f>
        <v>-3006429.6024847757</v>
      </c>
      <c r="HC46" s="45" t="s">
        <v>62</v>
      </c>
      <c r="HD46" s="43">
        <f t="shared" ref="HD46" si="395">HD20</f>
        <v>-385351.07000000007</v>
      </c>
      <c r="HF46" s="43">
        <f t="shared" ref="HF46" si="396">HF20</f>
        <v>-552701.84</v>
      </c>
      <c r="HH46" s="43">
        <f t="shared" ref="HH46" si="397">HH20</f>
        <v>-321048.34999999998</v>
      </c>
      <c r="HJ46" s="43">
        <f t="shared" ref="HJ46" si="398">HJ20</f>
        <v>-512308.30000000016</v>
      </c>
      <c r="HL46" s="43">
        <f t="shared" ref="HL46" si="399">HL20</f>
        <v>-308713.93753523193</v>
      </c>
      <c r="HN46" s="43">
        <f>SUM(HD46:HL46)</f>
        <v>-2080123.497535232</v>
      </c>
      <c r="HQ46" s="45" t="s">
        <v>62</v>
      </c>
      <c r="HR46" s="43">
        <f t="shared" ref="HR46" si="400">HR20-IF20</f>
        <v>-340730.42000000004</v>
      </c>
      <c r="HT46" s="43">
        <f t="shared" ref="HT46" si="401">HT20-IH20</f>
        <v>-550656.29999999981</v>
      </c>
      <c r="HV46" s="43">
        <f t="shared" ref="HV46" si="402">HV20-IJ20</f>
        <v>-341064.20000000217</v>
      </c>
      <c r="HX46" s="43">
        <f t="shared" ref="HX46" si="403">HX20-IL20</f>
        <v>-485340.65999999945</v>
      </c>
      <c r="HZ46" s="43">
        <f t="shared" ref="HZ46" si="404">HZ20-IN20</f>
        <v>-309851.24018907559</v>
      </c>
      <c r="IB46" s="43">
        <f>SUM(HR46:HZ46)</f>
        <v>-2027642.8201890769</v>
      </c>
      <c r="IE46" s="45" t="s">
        <v>62</v>
      </c>
      <c r="IF46" s="43">
        <f t="shared" ref="IF46" si="405">IF20-IT20</f>
        <v>-349536.39</v>
      </c>
      <c r="IH46" s="43">
        <f t="shared" ref="IH46" si="406">IH20-IV20</f>
        <v>-549645.91999999993</v>
      </c>
      <c r="IJ46" s="43">
        <f t="shared" ref="IJ46" si="407">IJ20-IX20</f>
        <v>-336049.17000000086</v>
      </c>
      <c r="IL46" s="43">
        <f t="shared" ref="IL46" si="408">IL20-IZ20</f>
        <v>-559423.19999999902</v>
      </c>
      <c r="IN46" s="43">
        <f t="shared" ref="IN46" si="409">IN20-JB20</f>
        <v>-308404.90245600394</v>
      </c>
      <c r="IP46" s="43">
        <f>SUM(IF46:IN46)</f>
        <v>-2103059.5824560039</v>
      </c>
      <c r="IS46" s="45" t="s">
        <v>62</v>
      </c>
      <c r="IT46" s="43">
        <f t="shared" ref="IT46" si="410">IT20-JH20</f>
        <v>-312591.69000000006</v>
      </c>
      <c r="IV46" s="43">
        <f t="shared" ref="IV46" si="411">IV20-JJ20</f>
        <v>-548624.61999999988</v>
      </c>
      <c r="IX46" s="43">
        <f t="shared" ref="IX46" si="412">IX20-JL20</f>
        <v>-334466.14999999938</v>
      </c>
      <c r="IZ46" s="43">
        <f t="shared" ref="IZ46" si="413">IZ20-JN20</f>
        <v>-551613.61000000103</v>
      </c>
      <c r="JB46" s="43">
        <f t="shared" ref="JB46" si="414">JB20-JP20</f>
        <v>-287145.27519146824</v>
      </c>
      <c r="JD46" s="43">
        <f>SUM(IT46:JB46)</f>
        <v>-2034441.3451914685</v>
      </c>
      <c r="JG46" s="45" t="s">
        <v>62</v>
      </c>
      <c r="JH46" s="43">
        <f t="shared" ref="JH46" si="415">JH20</f>
        <v>-290523.38</v>
      </c>
      <c r="JJ46" s="43">
        <f t="shared" ref="JJ46" si="416">JJ20</f>
        <v>-544589.53</v>
      </c>
      <c r="JL46" s="43">
        <f t="shared" ref="JL46" si="417">JL20</f>
        <v>-342595.60000000073</v>
      </c>
      <c r="JN46" s="43">
        <f t="shared" ref="JN46" si="418">JN20</f>
        <v>-543740.38000000012</v>
      </c>
      <c r="JP46" s="43">
        <f t="shared" ref="JP46" si="419">JP20</f>
        <v>-88249.262163452266</v>
      </c>
      <c r="JR46" s="43">
        <f>SUM(JH46:JP46)</f>
        <v>-1809698.1521634532</v>
      </c>
      <c r="JU46" s="45" t="s">
        <v>62</v>
      </c>
      <c r="JV46" s="43">
        <f t="shared" ref="JV46" si="420">JV20-KJ20</f>
        <v>-251462.07999999949</v>
      </c>
      <c r="JX46" s="43">
        <f t="shared" ref="JX46" si="421">JX20-KL20</f>
        <v>-539194.16000000015</v>
      </c>
      <c r="JZ46" s="43">
        <f t="shared" ref="JZ46" si="422">JZ20-KN20</f>
        <v>-333659.33999999636</v>
      </c>
      <c r="KB46" s="43">
        <f t="shared" ref="KB46" si="423">KB20-KP20</f>
        <v>-527933.02000000072</v>
      </c>
      <c r="KD46" s="43">
        <f t="shared" ref="KD46" si="424">KD20-KR20</f>
        <v>-91053.436372479628</v>
      </c>
      <c r="KF46" s="43">
        <f>SUM(JV46:KD46)</f>
        <v>-1743302.0363724763</v>
      </c>
      <c r="KI46" s="45" t="s">
        <v>62</v>
      </c>
      <c r="KJ46" s="43">
        <f>KJ20-KX20</f>
        <v>-225030.31999999972</v>
      </c>
      <c r="KL46" s="43">
        <f>KL20-KZ20</f>
        <v>-535646.74999999977</v>
      </c>
      <c r="KN46" s="43">
        <f>KN20-LB20</f>
        <v>-330435.46999999869</v>
      </c>
      <c r="KP46" s="43">
        <f>KP20-LD20</f>
        <v>-459515.66999999923</v>
      </c>
      <c r="KR46" s="43">
        <f>KR20-LF20</f>
        <v>-80075.136088050407</v>
      </c>
      <c r="KT46" s="43">
        <f>SUM(KJ46:KR46)</f>
        <v>-1630703.3460880478</v>
      </c>
      <c r="KW46" s="45" t="s">
        <v>62</v>
      </c>
      <c r="KX46" s="43">
        <f>KX20-LK20</f>
        <v>-222620.27000000016</v>
      </c>
      <c r="KZ46" s="43">
        <f>KZ20-LM20</f>
        <v>-410848.75925998006</v>
      </c>
      <c r="LB46" s="43">
        <f>LB20-LO20</f>
        <v>-320299.31000000011</v>
      </c>
      <c r="LD46" s="43">
        <f>LD20-LQ20</f>
        <v>-438512.77000000118</v>
      </c>
      <c r="LF46" s="43">
        <f>LF20-LS20</f>
        <v>-189108.63183506526</v>
      </c>
      <c r="LH46" s="43">
        <f>SUM(KX46:LF46)</f>
        <v>-1581389.7410950467</v>
      </c>
      <c r="LJ46" s="45" t="s">
        <v>62</v>
      </c>
      <c r="LK46" s="43">
        <f t="shared" ref="LK46" si="425">LK20</f>
        <v>-216246.19000000003</v>
      </c>
      <c r="LM46" s="43">
        <f t="shared" ref="LM46" si="426">LM20</f>
        <v>-650445.92074001988</v>
      </c>
      <c r="LO46" s="43">
        <f t="shared" ref="LO46" si="427">LO20</f>
        <v>-318041.61999999994</v>
      </c>
      <c r="LP46" s="164"/>
      <c r="LQ46" s="43">
        <f t="shared" ref="LQ46" si="428">LQ20</f>
        <v>-452559.30000000005</v>
      </c>
      <c r="LS46" s="43">
        <f t="shared" ref="LS46" si="429">LS20</f>
        <v>56245.125</v>
      </c>
      <c r="LU46" s="43">
        <f>SUM(LK46:LS46)</f>
        <v>-1581047.9057400199</v>
      </c>
      <c r="LW46" s="45" t="s">
        <v>62</v>
      </c>
      <c r="LX46" s="43">
        <f t="shared" ref="LX46:MF46" si="430">LX20-ML20</f>
        <v>-163101.97999999928</v>
      </c>
      <c r="LZ46" s="43">
        <f t="shared" si="430"/>
        <v>-511649.26</v>
      </c>
      <c r="MB46" s="43">
        <f t="shared" si="430"/>
        <v>-278924.31999999878</v>
      </c>
      <c r="MD46" s="43">
        <f t="shared" si="430"/>
        <v>-311700.23999999953</v>
      </c>
      <c r="MF46" s="43">
        <f t="shared" si="430"/>
        <v>6497.3450000000303</v>
      </c>
      <c r="MH46" s="43">
        <f>SUM(LX46:MF46)</f>
        <v>-1258878.4549999975</v>
      </c>
      <c r="MK46" s="45" t="s">
        <v>62</v>
      </c>
      <c r="ML46" s="43">
        <f>ML20-MZ20</f>
        <v>-160970.08999999973</v>
      </c>
      <c r="MN46" s="43">
        <f>MN20-NB20</f>
        <v>-500310.09999999974</v>
      </c>
      <c r="MP46" s="43">
        <f>MP20-ND20</f>
        <v>-279491.61000000115</v>
      </c>
      <c r="MR46" s="43">
        <f>MR20-NF20</f>
        <v>-380193.81000000238</v>
      </c>
      <c r="MT46" s="43">
        <f>MT20-NH20</f>
        <v>6497.3449999999575</v>
      </c>
      <c r="MV46" s="43">
        <f>SUM(ML46:MT46)</f>
        <v>-1314468.2650000032</v>
      </c>
      <c r="MY46" s="45" t="s">
        <v>62</v>
      </c>
      <c r="MZ46" s="43">
        <f>MZ20-NM20</f>
        <v>-163993.99000000014</v>
      </c>
      <c r="NB46" s="43">
        <f>NB20-NO20</f>
        <v>-497797.25</v>
      </c>
      <c r="ND46" s="43">
        <f>ND20-NQ20</f>
        <v>-282727.95999999996</v>
      </c>
      <c r="NF46" s="43">
        <f>NF20-NS20</f>
        <v>-389030.90999999986</v>
      </c>
      <c r="NH46" s="43">
        <f>NH20-NU20</f>
        <v>6497.3450000000084</v>
      </c>
      <c r="NJ46" s="43">
        <f>SUM(MZ46:NH46)</f>
        <v>-1327052.7649999999</v>
      </c>
      <c r="NL46" s="45" t="s">
        <v>62</v>
      </c>
      <c r="NM46" s="43">
        <f>NM20</f>
        <v>-170426.21999999994</v>
      </c>
      <c r="NO46" s="43">
        <f>NO20</f>
        <v>-492168.4800000001</v>
      </c>
      <c r="NQ46" s="43">
        <f>NQ20</f>
        <v>-273270</v>
      </c>
      <c r="NR46" s="164"/>
      <c r="NS46" s="43">
        <f>NS20</f>
        <v>-406584.23000000004</v>
      </c>
      <c r="NU46" s="43">
        <f>NU20</f>
        <v>6497.3450000000084</v>
      </c>
      <c r="NW46" s="43">
        <f>SUM(NM46:NU46)</f>
        <v>-1335951.5850000002</v>
      </c>
      <c r="NY46" s="45" t="s">
        <v>62</v>
      </c>
      <c r="NZ46" s="43">
        <f>NZ20-OM20</f>
        <v>-160888.94000000239</v>
      </c>
      <c r="OB46" s="43">
        <f>OB20-OO20</f>
        <v>-804867.44</v>
      </c>
      <c r="OD46" s="156">
        <v>-271352.18</v>
      </c>
      <c r="OF46" s="156">
        <v>-7841.8900000001486</v>
      </c>
      <c r="OH46" s="156">
        <v>20826.995288333394</v>
      </c>
      <c r="OJ46" s="43">
        <f>SUM(NZ46:OH46)</f>
        <v>-1224123.4547116691</v>
      </c>
      <c r="OL46" s="45" t="s">
        <v>62</v>
      </c>
      <c r="OM46" s="43">
        <f>OM20-OZ20</f>
        <v>-162940.19000000018</v>
      </c>
      <c r="OO46" s="43">
        <f>OO20-PB20</f>
        <v>-499741.6399999999</v>
      </c>
      <c r="OQ46" s="130">
        <f>OQ20-PD20</f>
        <v>0</v>
      </c>
      <c r="OS46" s="43">
        <f>OS20-PF20</f>
        <v>-396912.1799999997</v>
      </c>
      <c r="OU46" s="43">
        <f>OU20-PH20</f>
        <v>-6206.1081250000425</v>
      </c>
      <c r="OW46" s="43">
        <f>SUM(OM46:OU46)</f>
        <v>-1065800.1181249998</v>
      </c>
      <c r="OY46" s="45" t="s">
        <v>62</v>
      </c>
      <c r="OZ46" s="43">
        <f>OZ20-PM20</f>
        <v>-165702.82999999984</v>
      </c>
      <c r="PB46" s="43">
        <f>PB20-PO20</f>
        <v>-111939.5</v>
      </c>
      <c r="PD46" s="130">
        <f>PD20-PQ20</f>
        <v>0</v>
      </c>
      <c r="PF46" s="43">
        <f>PF20-PS20</f>
        <v>-490016.78000000096</v>
      </c>
      <c r="PH46" s="43">
        <f>PH20-PU20</f>
        <v>44675.692625000025</v>
      </c>
      <c r="PJ46" s="43">
        <f>SUM(OZ46:PH46)</f>
        <v>-722983.41737500078</v>
      </c>
      <c r="PL46" s="45" t="s">
        <v>62</v>
      </c>
      <c r="PM46" s="43">
        <f>PM20-PZ20-QD20</f>
        <v>-139486.30000000002</v>
      </c>
      <c r="PO46" s="43">
        <f>PO20-QB20</f>
        <v>-104223.14000000003</v>
      </c>
      <c r="PQ46" s="130"/>
      <c r="PS46" s="43">
        <f>PS20-QF20</f>
        <v>-450624.2499999993</v>
      </c>
      <c r="PU46" s="43">
        <f>PU20-QH20</f>
        <v>42264.31412499999</v>
      </c>
      <c r="PW46" s="43">
        <f>SUM(PM46:PU46)</f>
        <v>-652069.37587499933</v>
      </c>
      <c r="PY46" s="45" t="s">
        <v>62</v>
      </c>
      <c r="PZ46" s="43">
        <f>PZ20-QM20</f>
        <v>-90274.75999999998</v>
      </c>
      <c r="QB46" s="43">
        <f>QB20-QO20</f>
        <v>-74447.259999999995</v>
      </c>
      <c r="QD46" s="43">
        <f>QD20-QQ20</f>
        <v>-47197.530000000013</v>
      </c>
      <c r="QF46" s="43">
        <f>QF20-QS20</f>
        <v>-451779.68000000028</v>
      </c>
      <c r="QH46" s="43">
        <f>QH20-QU20</f>
        <v>28507.026083333338</v>
      </c>
      <c r="QJ46" s="43">
        <f>SUM(PZ46:QH46)</f>
        <v>-635192.20391666691</v>
      </c>
      <c r="QL46" s="45" t="s">
        <v>62</v>
      </c>
      <c r="QM46" s="43">
        <f>QM20-QZ20</f>
        <v>-87035.96</v>
      </c>
      <c r="QO46" s="43">
        <f>QO20-RB20</f>
        <v>-15038.1</v>
      </c>
      <c r="QQ46" s="43">
        <f>QQ20-RD20</f>
        <v>-47278.35</v>
      </c>
      <c r="QS46" s="43">
        <f>QS20-RF20</f>
        <v>-453253.27</v>
      </c>
      <c r="QU46" s="43">
        <f>QU20-RH20</f>
        <v>992.55</v>
      </c>
      <c r="QW46" s="43">
        <f>SUM(QM46:QU46)</f>
        <v>-601613.13</v>
      </c>
      <c r="QY46" s="45" t="s">
        <v>62</v>
      </c>
      <c r="QZ46" s="43">
        <f>QZ20</f>
        <v>-83305.12000000001</v>
      </c>
      <c r="RB46" s="43">
        <f>RB20</f>
        <v>-14614.53</v>
      </c>
      <c r="RD46" s="43">
        <f>RD20</f>
        <v>-45106.35</v>
      </c>
      <c r="RF46" s="43">
        <f>RF20</f>
        <v>-453726.35</v>
      </c>
      <c r="RH46" s="43">
        <f>RH20</f>
        <v>992.55</v>
      </c>
      <c r="RJ46" s="43">
        <f>SUM(QZ46:RH46)</f>
        <v>-595759.79999999993</v>
      </c>
      <c r="RL46" s="45" t="s">
        <v>62</v>
      </c>
      <c r="RM46" s="43">
        <f>RM20-RZ20</f>
        <v>-86673.910000000062</v>
      </c>
      <c r="RO46" s="43">
        <f>RO20-SB20</f>
        <v>-15095.349999999991</v>
      </c>
      <c r="RQ46" s="43">
        <f>RQ20-SD20</f>
        <v>-47575.100000000035</v>
      </c>
      <c r="RS46" s="43">
        <f>RS20-SF20</f>
        <v>-351770.4599999995</v>
      </c>
      <c r="RU46" s="43">
        <f>RU20-SH20</f>
        <v>-85.850000000320506</v>
      </c>
      <c r="RW46" s="43">
        <f>SUM(RM46:RU46)</f>
        <v>-501200.66999999993</v>
      </c>
      <c r="RY46" s="45" t="s">
        <v>62</v>
      </c>
      <c r="RZ46" s="43">
        <f>RZ20-SM20</f>
        <v>-83116.379999999976</v>
      </c>
      <c r="SB46" s="43">
        <f>SB20-SO20</f>
        <v>-14663.480000000007</v>
      </c>
      <c r="SD46" s="43">
        <f>SD20-SQ20</f>
        <v>-46141.619999999995</v>
      </c>
      <c r="SF46" s="43">
        <f>SF20-SS20</f>
        <v>-395441.89000000025</v>
      </c>
      <c r="SH46" s="43">
        <f>SH20-SU20</f>
        <v>1351.9800000001806</v>
      </c>
      <c r="SJ46" s="43">
        <f>SUM(RZ46:SH46)</f>
        <v>-538011.39</v>
      </c>
      <c r="SL46" s="45" t="s">
        <v>62</v>
      </c>
      <c r="SM46" s="43">
        <f>SM20-SZ20</f>
        <v>-83239.05</v>
      </c>
      <c r="SO46" s="43">
        <f>SO20-TB20</f>
        <v>9559.5300000000025</v>
      </c>
      <c r="SQ46" s="43">
        <f>SQ20-TD20</f>
        <v>-43622.880000000005</v>
      </c>
      <c r="SS46" s="43">
        <f>SS20-TF20</f>
        <v>-389104.26999999996</v>
      </c>
      <c r="SU46" s="43">
        <f>SU20-TH20</f>
        <v>1162.5900000002098</v>
      </c>
      <c r="SW46" s="43">
        <f>SUM(SM46:SU46)</f>
        <v>-505244.07999999978</v>
      </c>
      <c r="SY46" s="45" t="s">
        <v>62</v>
      </c>
      <c r="SZ46" s="43">
        <f>SZ20</f>
        <v>-81941.509999999995</v>
      </c>
      <c r="TB46" s="43">
        <f>TB20</f>
        <v>-37511.970000000008</v>
      </c>
      <c r="TD46" s="43">
        <f>TD20</f>
        <v>-41620.880000000005</v>
      </c>
      <c r="TF46" s="43">
        <f>TF20</f>
        <v>-386411.23999999993</v>
      </c>
      <c r="TH46" s="43">
        <f>TH20</f>
        <v>1541.3199999999301</v>
      </c>
      <c r="TJ46" s="43">
        <f>SUM(SZ46:TH46)</f>
        <v>-545944.28</v>
      </c>
      <c r="TL46" s="45" t="s">
        <v>62</v>
      </c>
      <c r="TM46" s="43">
        <f>TM20-TZ20</f>
        <v>-227634.62000000023</v>
      </c>
      <c r="TO46" s="43">
        <f>TO20-UB20</f>
        <v>-37509.449999999997</v>
      </c>
      <c r="TQ46" s="43">
        <f>TQ20-UD20</f>
        <v>-75110.930000000022</v>
      </c>
      <c r="TS46" s="43">
        <f>TS20-UF20</f>
        <v>-720065.05000000028</v>
      </c>
      <c r="TU46" s="43">
        <f>TU20-UH20</f>
        <v>-3983.7199999986715</v>
      </c>
      <c r="TW46" s="43">
        <f>SUM(TM46:TU46)</f>
        <v>-1064303.7699999991</v>
      </c>
      <c r="TY46" s="45" t="s">
        <v>62</v>
      </c>
      <c r="TZ46" s="43">
        <f>TZ20-UM20</f>
        <v>-224639.45999999996</v>
      </c>
      <c r="UB46" s="43">
        <f>UB20-UO20</f>
        <v>-26966.18</v>
      </c>
      <c r="UD46" s="43">
        <f>UD20-UQ20</f>
        <v>-74165.060000000012</v>
      </c>
      <c r="UF46" s="43">
        <f>UF20-US20</f>
        <v>-784159.01000000071</v>
      </c>
      <c r="UH46" s="43">
        <f>UH20-UU20</f>
        <v>3232.2000000004318</v>
      </c>
      <c r="UJ46" s="43">
        <f>SUM(TZ46:UH46)</f>
        <v>-1106697.5100000002</v>
      </c>
      <c r="UL46" s="45" t="s">
        <v>62</v>
      </c>
      <c r="UM46" s="43">
        <f>UM20-UZ20</f>
        <v>-200367.56999999992</v>
      </c>
      <c r="UO46" s="43">
        <f>UO20-VB20</f>
        <v>-32163.85</v>
      </c>
      <c r="UQ46" s="43">
        <f>UQ20-VD20</f>
        <v>-65646.169999999984</v>
      </c>
      <c r="US46" s="43">
        <f>US20-VF20</f>
        <v>-792948.07999999903</v>
      </c>
      <c r="UU46" s="43">
        <f>UU20-VH20</f>
        <v>5264.2899999995698</v>
      </c>
      <c r="UW46" s="43">
        <f>SUM(UM46:UU46)</f>
        <v>-1085861.3799999994</v>
      </c>
      <c r="UY46" s="45" t="s">
        <v>62</v>
      </c>
      <c r="UZ46" s="43">
        <f>UZ20</f>
        <v>-220268.34</v>
      </c>
      <c r="VB46" s="43">
        <f>VB20</f>
        <v>-32200.17</v>
      </c>
      <c r="VD46" s="43">
        <f>VD20</f>
        <v>-52934.060000000005</v>
      </c>
      <c r="VF46" s="43">
        <f>VF20</f>
        <v>-785045.98000000103</v>
      </c>
      <c r="VH46" s="43">
        <f>VH20</f>
        <v>1652.5</v>
      </c>
      <c r="VJ46" s="43">
        <f>SUM(UZ46:VH46)</f>
        <v>-1088796.050000001</v>
      </c>
      <c r="VL46" s="45" t="s">
        <v>62</v>
      </c>
      <c r="VM46" s="43">
        <f>VM20-VZ20</f>
        <v>-216118.13000000018</v>
      </c>
      <c r="VO46" s="43">
        <f>VO20-WB20</f>
        <v>-48188.810000000005</v>
      </c>
      <c r="VQ46" s="43">
        <f>VQ20-WD20</f>
        <v>-69224.979999999981</v>
      </c>
      <c r="VS46" s="43">
        <f>VS20-WF20</f>
        <v>-732488.32940068981</v>
      </c>
      <c r="VU46" s="43">
        <f>VU20-WH20</f>
        <v>4957.5</v>
      </c>
      <c r="VW46" s="43">
        <f>SUM(VM46:VU46)</f>
        <v>-1061062.74940069</v>
      </c>
      <c r="VY46" s="45" t="s">
        <v>62</v>
      </c>
      <c r="VZ46" s="43">
        <f>VZ20-WM20</f>
        <v>-197453.00000000006</v>
      </c>
      <c r="WB46" s="43">
        <f>WB20-WO20</f>
        <v>-23774.11</v>
      </c>
      <c r="WD46" s="43">
        <f>WD20-WQ20</f>
        <v>-54220</v>
      </c>
      <c r="WF46" s="43">
        <f>WF20-WS20</f>
        <v>-801554.96353310347</v>
      </c>
      <c r="WH46" s="43">
        <f>WH20-WU20</f>
        <v>-1652.4999999999204</v>
      </c>
      <c r="WJ46" s="43">
        <f>SUM(VZ46:WH46)</f>
        <v>-1078654.5735331036</v>
      </c>
      <c r="WL46" s="45" t="s">
        <v>62</v>
      </c>
      <c r="WM46" s="43">
        <f>WM20-WZ20</f>
        <v>-176555.40999999989</v>
      </c>
      <c r="WO46" s="43">
        <f>WO20-XB20</f>
        <v>-20364.919999999998</v>
      </c>
      <c r="WQ46" s="43">
        <f>WQ20-XD20</f>
        <v>-53710.5</v>
      </c>
      <c r="WS46" s="43">
        <f>WS20-XF20</f>
        <v>-730581.04353310331</v>
      </c>
      <c r="WU46" s="43">
        <f>WU20-XH20</f>
        <v>-4957.50000000008</v>
      </c>
      <c r="WW46" s="43">
        <f>SUM(WM46:WU46)</f>
        <v>-986169.37353310327</v>
      </c>
      <c r="WY46" s="45" t="s">
        <v>62</v>
      </c>
      <c r="WZ46" s="43">
        <f>WZ20</f>
        <v>-148446.59</v>
      </c>
      <c r="XB46" s="43">
        <f>XB20</f>
        <v>-17075.099999999999</v>
      </c>
      <c r="XD46" s="43">
        <f>XD20</f>
        <v>-50997.5</v>
      </c>
      <c r="XF46" s="43">
        <f>XF20</f>
        <v>-552589.05353310308</v>
      </c>
      <c r="XH46" s="43">
        <f>XH20</f>
        <v>1652.5</v>
      </c>
      <c r="XJ46" s="43">
        <f>SUM(WZ46:XH46)</f>
        <v>-767455.74353310303</v>
      </c>
      <c r="XL46" s="45" t="s">
        <v>62</v>
      </c>
      <c r="XM46" s="43">
        <f>XM20-XZ20</f>
        <v>-122291.5</v>
      </c>
      <c r="XO46" s="43">
        <f>XO20-YB20</f>
        <v>-20183.700000000004</v>
      </c>
      <c r="XQ46" s="43">
        <f>XQ20-YD20</f>
        <v>-61573.670000000013</v>
      </c>
      <c r="XS46" s="43">
        <f>XS20-YF20</f>
        <v>-748003.03353310004</v>
      </c>
      <c r="XU46" s="43">
        <f>XU20-YH20</f>
        <v>4593</v>
      </c>
      <c r="XW46" s="43">
        <f>SUM(XM46:XU46)</f>
        <v>-947458.90353310003</v>
      </c>
      <c r="XZ46" s="43"/>
    </row>
    <row r="47" spans="1:660">
      <c r="LB47" s="156"/>
      <c r="LO47" s="156"/>
      <c r="LP47" s="164"/>
      <c r="ND47" s="156"/>
      <c r="NQ47" s="156"/>
      <c r="NR47" s="164"/>
      <c r="NZ47" s="143"/>
      <c r="OA47" s="143"/>
      <c r="OB47" s="142"/>
      <c r="OC47" s="142"/>
      <c r="OD47" s="163"/>
      <c r="OE47" s="142"/>
      <c r="OF47" s="142"/>
      <c r="OG47" s="142"/>
      <c r="OH47" s="142"/>
      <c r="OI47" s="142"/>
      <c r="OJ47" s="142"/>
      <c r="OQ47" s="130"/>
      <c r="PD47" s="130"/>
      <c r="PQ47" s="130"/>
    </row>
    <row r="48" spans="1:660" ht="11" thickBot="1">
      <c r="A48" s="48" t="s">
        <v>151</v>
      </c>
      <c r="B48" s="53"/>
      <c r="C48" s="54"/>
      <c r="D48" s="53"/>
      <c r="E48" s="49"/>
      <c r="F48" s="167"/>
      <c r="G48" s="49"/>
      <c r="H48" s="53"/>
      <c r="I48" s="49"/>
      <c r="J48" s="53"/>
      <c r="K48" s="49"/>
      <c r="L48" s="53"/>
      <c r="O48" s="48" t="s">
        <v>151</v>
      </c>
      <c r="P48" s="53"/>
      <c r="Q48" s="54"/>
      <c r="R48" s="53"/>
      <c r="S48" s="49"/>
      <c r="T48" s="167"/>
      <c r="U48" s="49"/>
      <c r="V48" s="53"/>
      <c r="W48" s="49"/>
      <c r="X48" s="53"/>
      <c r="Y48" s="49"/>
      <c r="Z48" s="53"/>
      <c r="AC48" s="48" t="s">
        <v>151</v>
      </c>
      <c r="AD48" s="53"/>
      <c r="AE48" s="54"/>
      <c r="AF48" s="53"/>
      <c r="AG48" s="49"/>
      <c r="AH48" s="167"/>
      <c r="AI48" s="49"/>
      <c r="AJ48" s="53"/>
      <c r="AK48" s="49"/>
      <c r="AL48" s="53"/>
      <c r="AM48" s="49"/>
      <c r="AN48" s="53"/>
      <c r="AQ48" s="48" t="s">
        <v>151</v>
      </c>
      <c r="AR48" s="53">
        <f>AR45-AR46</f>
        <v>50606792.729398139</v>
      </c>
      <c r="AS48" s="54"/>
      <c r="AT48" s="53">
        <f>AT45-AT46</f>
        <v>3905351.2109506191</v>
      </c>
      <c r="AU48" s="49"/>
      <c r="AV48" s="167">
        <f>AV45-AV46</f>
        <v>-4575783.8000000007</v>
      </c>
      <c r="AW48" s="49"/>
      <c r="AX48" s="53">
        <f>AX45-AX46</f>
        <v>-3489779.5621749987</v>
      </c>
      <c r="AY48" s="49"/>
      <c r="AZ48" s="53">
        <f>AZ45-AZ46</f>
        <v>0</v>
      </c>
      <c r="BA48" s="49"/>
      <c r="BB48" s="53">
        <f>BB45-BB46</f>
        <v>46446580.578173772</v>
      </c>
      <c r="BE48" s="48" t="s">
        <v>151</v>
      </c>
      <c r="BF48" s="53">
        <f>BF45-BF46</f>
        <v>35308584.978854492</v>
      </c>
      <c r="BG48" s="54"/>
      <c r="BH48" s="53">
        <f>BH45-BH46</f>
        <v>4320896.8786696177</v>
      </c>
      <c r="BI48" s="49"/>
      <c r="BJ48" s="167">
        <f>BJ45-BJ46</f>
        <v>-5585502.0100000063</v>
      </c>
      <c r="BK48" s="49"/>
      <c r="BL48" s="53">
        <f>BL45-BL46</f>
        <v>-4974938.535021645</v>
      </c>
      <c r="BM48" s="49"/>
      <c r="BN48" s="53">
        <f>BN45-BN46</f>
        <v>-108446.92118611059</v>
      </c>
      <c r="BO48" s="49"/>
      <c r="BP48" s="53">
        <f>BP45-BP46</f>
        <v>28960594.391316358</v>
      </c>
      <c r="BS48" s="48" t="s">
        <v>151</v>
      </c>
      <c r="BT48" s="53">
        <f>BT45-BT46</f>
        <v>31708894.430132646</v>
      </c>
      <c r="BU48" s="54"/>
      <c r="BV48" s="53">
        <f>BV45-BV46</f>
        <v>3434403.1006664913</v>
      </c>
      <c r="BW48" s="49"/>
      <c r="BX48" s="167">
        <f>BX45-BX46</f>
        <v>-7775007.9099999955</v>
      </c>
      <c r="BY48" s="49"/>
      <c r="BZ48" s="53">
        <f>BZ45-BZ46</f>
        <v>-2800627.2897882783</v>
      </c>
      <c r="CA48" s="49"/>
      <c r="CB48" s="53">
        <f>CB45-CB46</f>
        <v>37646.916165172282</v>
      </c>
      <c r="CC48" s="49"/>
      <c r="CD48" s="53">
        <f>CD45-CD46</f>
        <v>24605309.247176036</v>
      </c>
      <c r="CG48" s="48" t="s">
        <v>151</v>
      </c>
      <c r="CH48" s="53">
        <f>CH45-CH46</f>
        <v>23429376.146676108</v>
      </c>
      <c r="CI48" s="54"/>
      <c r="CJ48" s="53">
        <f>CJ45-CJ46</f>
        <v>4393360.7895764131</v>
      </c>
      <c r="CK48" s="49"/>
      <c r="CL48" s="167">
        <f>CL45-CL46</f>
        <v>-4920596.2399999984</v>
      </c>
      <c r="CM48" s="49"/>
      <c r="CN48" s="53">
        <f>CN45-CN46</f>
        <v>-2341923.9163961681</v>
      </c>
      <c r="CO48" s="49"/>
      <c r="CP48" s="53">
        <f>CP45-CP46</f>
        <v>36277.499937605964</v>
      </c>
      <c r="CQ48" s="49"/>
      <c r="CR48" s="53">
        <f>CR45-CR46</f>
        <v>20596494.279793948</v>
      </c>
      <c r="CU48" s="48" t="s">
        <v>151</v>
      </c>
      <c r="CV48" s="53">
        <f>CV45-CV46</f>
        <v>53130675.221675918</v>
      </c>
      <c r="CW48" s="54"/>
      <c r="CX48" s="53">
        <f>CX45-CX46</f>
        <v>4127978.0693028611</v>
      </c>
      <c r="CY48" s="49"/>
      <c r="CZ48" s="167">
        <f>CZ45-CZ46</f>
        <v>-3831775.97</v>
      </c>
      <c r="DA48" s="49"/>
      <c r="DB48" s="53">
        <f>DB45-DB46</f>
        <v>-4150628.9881689986</v>
      </c>
      <c r="DC48" s="49"/>
      <c r="DD48" s="53">
        <f>DD45-DD46</f>
        <v>37155.000000000153</v>
      </c>
      <c r="DE48" s="49"/>
      <c r="DF48" s="53">
        <f>DF45-DF46</f>
        <v>49313403.332809798</v>
      </c>
      <c r="DI48" s="48" t="s">
        <v>151</v>
      </c>
      <c r="DJ48" s="53">
        <f>DJ45-DJ46</f>
        <v>33997737.698241629</v>
      </c>
      <c r="DK48" s="54"/>
      <c r="DL48" s="53">
        <f>DL45-DL46</f>
        <v>3364001.265099714</v>
      </c>
      <c r="DM48" s="49"/>
      <c r="DN48" s="167">
        <f>DN45-DN46</f>
        <v>-4827224.8799999971</v>
      </c>
      <c r="DO48" s="49"/>
      <c r="DP48" s="53">
        <f>DP45-DP46</f>
        <v>-6242494.6525801411</v>
      </c>
      <c r="DQ48" s="49"/>
      <c r="DR48" s="53">
        <f>DR45-DR46</f>
        <v>616771.5228657925</v>
      </c>
      <c r="DS48" s="49"/>
      <c r="DT48" s="53">
        <f>DT45-DT46</f>
        <v>26908790.953626994</v>
      </c>
      <c r="DW48" s="48" t="s">
        <v>151</v>
      </c>
      <c r="DX48" s="53">
        <f>DX45-DX46</f>
        <v>24853900.090025894</v>
      </c>
      <c r="DY48" s="54"/>
      <c r="DZ48" s="53">
        <f>DZ45-DZ46</f>
        <v>3139353.4641286945</v>
      </c>
      <c r="EA48" s="49"/>
      <c r="EB48" s="167">
        <f>EB45-EB46</f>
        <v>-4572565.879999999</v>
      </c>
      <c r="EC48" s="49"/>
      <c r="ED48" s="53">
        <f>ED45-ED46</f>
        <v>-2652952.7244862816</v>
      </c>
      <c r="EE48" s="49"/>
      <c r="EF48" s="53">
        <f>EF45-EF46</f>
        <v>84448.073818333651</v>
      </c>
      <c r="EG48" s="49"/>
      <c r="EH48" s="53">
        <f>EH45-EH46</f>
        <v>20852183.023486625</v>
      </c>
      <c r="EK48" s="48" t="s">
        <v>151</v>
      </c>
      <c r="EL48" s="53">
        <f>EL45-EL46</f>
        <v>9748857.9281885475</v>
      </c>
      <c r="EM48" s="54"/>
      <c r="EN48" s="53">
        <f>EN45-EN46</f>
        <v>3272281.2011709213</v>
      </c>
      <c r="EO48" s="49"/>
      <c r="EP48" s="167">
        <f>EP45-EP46</f>
        <v>-3342706.8400000003</v>
      </c>
      <c r="EQ48" s="49"/>
      <c r="ER48" s="53">
        <f>ER45-ER46</f>
        <v>-2789935.4628055776</v>
      </c>
      <c r="ES48" s="49"/>
      <c r="ET48" s="53">
        <f>ET45-ET46</f>
        <v>-51180.396930687486</v>
      </c>
      <c r="EU48" s="49"/>
      <c r="EV48" s="53">
        <f>EV45-EV46</f>
        <v>6837316.4296232034</v>
      </c>
      <c r="EY48" s="48" t="s">
        <v>151</v>
      </c>
      <c r="EZ48" s="53">
        <f>EZ45-EZ46</f>
        <v>30343292.321166694</v>
      </c>
      <c r="FA48" s="54"/>
      <c r="FB48" s="53">
        <f>FB45-FB46</f>
        <v>1461892.8799999992</v>
      </c>
      <c r="FC48" s="49"/>
      <c r="FD48" s="167">
        <f>FD45-FD46</f>
        <v>-1733794.9100000001</v>
      </c>
      <c r="FE48" s="49"/>
      <c r="FF48" s="53">
        <f>FF45-FF46</f>
        <v>-1993514.9100000008</v>
      </c>
      <c r="FG48" s="49"/>
      <c r="FH48" s="53">
        <f>FH45-FH46</f>
        <v>-35779.655085312661</v>
      </c>
      <c r="FI48" s="49"/>
      <c r="FJ48" s="53">
        <f>FJ45-FJ46</f>
        <v>28042095.726081371</v>
      </c>
      <c r="FM48" s="48" t="s">
        <v>151</v>
      </c>
      <c r="FN48" s="53">
        <f>FN45-FN46</f>
        <v>13539483.439655416</v>
      </c>
      <c r="FO48" s="54"/>
      <c r="FP48" s="53">
        <f>FP45-FP46</f>
        <v>1164819.9960304881</v>
      </c>
      <c r="FQ48" s="49"/>
      <c r="FR48" s="167">
        <f>FR45-FR46</f>
        <v>-3848515.1299999971</v>
      </c>
      <c r="FS48" s="49"/>
      <c r="FT48" s="53">
        <f>FT45-FT46</f>
        <v>-1934721.7412974229</v>
      </c>
      <c r="FU48" s="49"/>
      <c r="FV48" s="53">
        <f>FV45-FV46</f>
        <v>562398.5689842673</v>
      </c>
      <c r="FW48" s="49"/>
      <c r="FX48" s="53">
        <f>FX45-FX46</f>
        <v>9483465.1333727501</v>
      </c>
      <c r="GA48" s="48" t="s">
        <v>151</v>
      </c>
      <c r="GB48" s="53">
        <f>GB45-GB46</f>
        <v>6949217.2270730287</v>
      </c>
      <c r="GC48" s="54"/>
      <c r="GD48" s="53">
        <f>GD45-GD46</f>
        <v>1667581.5622499983</v>
      </c>
      <c r="GE48" s="49"/>
      <c r="GF48" s="167">
        <f>GF45-GF46</f>
        <v>-1520441.7500000005</v>
      </c>
      <c r="GG48" s="49"/>
      <c r="GH48" s="53">
        <f>GH45-GH46</f>
        <v>-1800665.6224909965</v>
      </c>
      <c r="GI48" s="49"/>
      <c r="GJ48" s="53">
        <f>GJ45-GJ46</f>
        <v>277403.07641775685</v>
      </c>
      <c r="GK48" s="49"/>
      <c r="GL48" s="53">
        <f>GL45-GL46</f>
        <v>5573094.4932497907</v>
      </c>
      <c r="GO48" s="48" t="s">
        <v>151</v>
      </c>
      <c r="GP48" s="53">
        <f>GP45-GP46</f>
        <v>4853842.2903495003</v>
      </c>
      <c r="GQ48" s="54"/>
      <c r="GR48" s="53">
        <f>GR45-GR46</f>
        <v>2322900.7599999993</v>
      </c>
      <c r="GS48" s="49"/>
      <c r="GT48" s="167">
        <f>GT45-GT46</f>
        <v>-1367300.1299999997</v>
      </c>
      <c r="GU48" s="49"/>
      <c r="GV48" s="53">
        <f>GV45-GV46</f>
        <v>4385375.6535751242</v>
      </c>
      <c r="GW48" s="49"/>
      <c r="GX48" s="53">
        <f>GX45-GX46</f>
        <v>220649.50631749968</v>
      </c>
      <c r="GY48" s="49"/>
      <c r="GZ48" s="53">
        <f>GZ45-GZ46</f>
        <v>10415468.080242125</v>
      </c>
      <c r="HC48" s="48" t="s">
        <v>151</v>
      </c>
      <c r="HD48" s="53">
        <f>HD45-HD46</f>
        <v>4358767.8400000073</v>
      </c>
      <c r="HE48" s="54"/>
      <c r="HF48" s="53">
        <f>HF45-HF46</f>
        <v>2118460.67</v>
      </c>
      <c r="HG48" s="49"/>
      <c r="HH48" s="167">
        <f>HH45-HH46</f>
        <v>-1358206.2600000002</v>
      </c>
      <c r="HI48" s="49"/>
      <c r="HJ48" s="53">
        <f>HJ45-HJ46</f>
        <v>-1154127.4405</v>
      </c>
      <c r="HK48" s="49"/>
      <c r="HL48" s="53">
        <f>HL45-HL46</f>
        <v>220447.49065000028</v>
      </c>
      <c r="HM48" s="49"/>
      <c r="HN48" s="53">
        <f>HN45-HN46</f>
        <v>4185342.3001500103</v>
      </c>
      <c r="HQ48" s="48" t="s">
        <v>151</v>
      </c>
      <c r="HR48" s="53">
        <f>HR45-HR46</f>
        <v>6427976.3000000101</v>
      </c>
      <c r="HS48" s="54"/>
      <c r="HT48" s="53">
        <f>HT45-HT46</f>
        <v>2170528.5500000017</v>
      </c>
      <c r="HU48" s="49"/>
      <c r="HV48" s="167">
        <f>HV45-HV46</f>
        <v>-747936.53999999852</v>
      </c>
      <c r="HW48" s="49"/>
      <c r="HX48" s="53">
        <f>HX45-HX46</f>
        <v>-1427214.0405000004</v>
      </c>
      <c r="HY48" s="49"/>
      <c r="HZ48" s="53">
        <f>HZ45-HZ46</f>
        <v>222697.51774998521</v>
      </c>
      <c r="IA48" s="49"/>
      <c r="IB48" s="53">
        <f>IB45-IB46</f>
        <v>6646051.787250001</v>
      </c>
      <c r="IE48" s="48" t="s">
        <v>151</v>
      </c>
      <c r="IF48" s="53">
        <f>IF45-IF46</f>
        <v>1171728.5299999951</v>
      </c>
      <c r="IG48" s="54"/>
      <c r="IH48" s="53">
        <f>IH45-IH46</f>
        <v>2164407.8200000012</v>
      </c>
      <c r="II48" s="49"/>
      <c r="IJ48" s="167">
        <f>IJ45-IJ46</f>
        <v>-1593933.4999999991</v>
      </c>
      <c r="IK48" s="49"/>
      <c r="IL48" s="53">
        <f>IL45-IL46</f>
        <v>-381737.08050000062</v>
      </c>
      <c r="IM48" s="49"/>
      <c r="IN48" s="53">
        <f>IN45-IN46</f>
        <v>225446.42075002973</v>
      </c>
      <c r="IO48" s="49"/>
      <c r="IP48" s="53">
        <f>IP45-IP46</f>
        <v>1585912.1902500279</v>
      </c>
      <c r="IS48" s="48" t="s">
        <v>151</v>
      </c>
      <c r="IT48" s="53">
        <f>IT45-IT46</f>
        <v>4713296.9099999955</v>
      </c>
      <c r="IU48" s="54"/>
      <c r="IV48" s="53">
        <f>IV45-IV46</f>
        <v>1954772.2799999972</v>
      </c>
      <c r="IW48" s="49"/>
      <c r="IX48" s="167">
        <f>IX45-IX46</f>
        <v>-808457.39000000036</v>
      </c>
      <c r="IY48" s="49"/>
      <c r="IZ48" s="53">
        <f>IZ45-IZ46</f>
        <v>-1253441.350499999</v>
      </c>
      <c r="JA48" s="49"/>
      <c r="JB48" s="53">
        <f>JB45-JB46</f>
        <v>198688.2907500001</v>
      </c>
      <c r="JC48" s="49"/>
      <c r="JD48" s="53">
        <f>JD45-JD46</f>
        <v>4804858.7402499961</v>
      </c>
      <c r="JG48" s="48" t="s">
        <v>151</v>
      </c>
      <c r="JH48" s="53">
        <f>JH45-JH46</f>
        <v>6323368.0100000026</v>
      </c>
      <c r="JI48" s="54"/>
      <c r="JJ48" s="53">
        <f>JJ45-JJ46</f>
        <v>1273821.1900000002</v>
      </c>
      <c r="JK48" s="49"/>
      <c r="JL48" s="167">
        <f>JL45-JL46</f>
        <v>-643739.62999999942</v>
      </c>
      <c r="JM48" s="49"/>
      <c r="JN48" s="53">
        <f>JN45-JN46</f>
        <v>-997033.33049999992</v>
      </c>
      <c r="JO48" s="49"/>
      <c r="JP48" s="53">
        <f>JP45-JP46</f>
        <v>168781.01074999996</v>
      </c>
      <c r="JQ48" s="49"/>
      <c r="JR48" s="53">
        <f>JR45-JR46</f>
        <v>6125197.2502500005</v>
      </c>
      <c r="JU48" s="48" t="s">
        <v>151</v>
      </c>
      <c r="JV48" s="53">
        <f>JV45-JV46</f>
        <v>5755653.4400000004</v>
      </c>
      <c r="JW48" s="54"/>
      <c r="JX48" s="53">
        <f>JX45-JX46</f>
        <v>1878480.4100000011</v>
      </c>
      <c r="JY48" s="49"/>
      <c r="JZ48" s="167">
        <f>JZ45-JZ46</f>
        <v>-582701.95000000286</v>
      </c>
      <c r="KA48" s="49"/>
      <c r="KB48" s="53">
        <f>KB45-KB46</f>
        <v>-1599966.1304999988</v>
      </c>
      <c r="KC48" s="49"/>
      <c r="KD48" s="53">
        <f>KD45-KD46</f>
        <v>151977.85484999986</v>
      </c>
      <c r="KE48" s="49"/>
      <c r="KF48" s="53">
        <f>KF45-KF46</f>
        <v>5603443.6243500011</v>
      </c>
      <c r="KI48" s="48" t="s">
        <v>151</v>
      </c>
      <c r="KJ48" s="53">
        <f>KJ45-KJ46</f>
        <v>3129186.4199999883</v>
      </c>
      <c r="KK48" s="54"/>
      <c r="KL48" s="53">
        <f>KL45-KL46</f>
        <v>1710342.6100000029</v>
      </c>
      <c r="KM48" s="49"/>
      <c r="KN48" s="167">
        <f>KN45-KN46</f>
        <v>-773022.3800000014</v>
      </c>
      <c r="KO48" s="49"/>
      <c r="KP48" s="53">
        <f>KP45-KP46</f>
        <v>-1078108.3305000009</v>
      </c>
      <c r="KQ48" s="49"/>
      <c r="KR48" s="53">
        <f>KR45-KR46</f>
        <v>142725.13385000065</v>
      </c>
      <c r="KS48" s="49"/>
      <c r="KT48" s="53">
        <f>KT45-KT46</f>
        <v>3131123.4533499889</v>
      </c>
      <c r="KW48" s="48" t="s">
        <v>151</v>
      </c>
      <c r="KX48" s="53">
        <f>KX45-KX46</f>
        <v>4586821.9800000014</v>
      </c>
      <c r="KY48" s="54"/>
      <c r="KZ48" s="53">
        <f>KZ45-KZ46</f>
        <v>2071935.1392599829</v>
      </c>
      <c r="LA48" s="49"/>
      <c r="LB48" s="159">
        <f>LB45-LB46</f>
        <v>-820699.08000000007</v>
      </c>
      <c r="LC48" s="49"/>
      <c r="LD48" s="53">
        <f>LD45-LD46</f>
        <v>-1116051.2504999992</v>
      </c>
      <c r="LE48" s="49"/>
      <c r="LF48" s="53">
        <f>LF45-LF46</f>
        <v>244440.17749001231</v>
      </c>
      <c r="LG48" s="49"/>
      <c r="LH48" s="53">
        <f>LH45-LH46</f>
        <v>4966446.9662499977</v>
      </c>
      <c r="LJ48" s="48" t="s">
        <v>151</v>
      </c>
      <c r="LK48" s="53">
        <f>LK45-LK46</f>
        <v>4333290.030000004</v>
      </c>
      <c r="LL48" s="54"/>
      <c r="LM48" s="53">
        <f>LM45-LM46</f>
        <v>2709925.6807400188</v>
      </c>
      <c r="LN48" s="49"/>
      <c r="LO48" s="159">
        <f>LO45-LO46</f>
        <v>-892250.29000000027</v>
      </c>
      <c r="LP48" s="166"/>
      <c r="LQ48" s="53">
        <f>LQ45-LQ46</f>
        <v>-1218598.4505</v>
      </c>
      <c r="LR48" s="49"/>
      <c r="LS48" s="53">
        <f>LS45-LS46</f>
        <v>-65512.020740012522</v>
      </c>
      <c r="LT48" s="49"/>
      <c r="LU48" s="53">
        <f>LU45-LU46</f>
        <v>4866854.9495000066</v>
      </c>
      <c r="LV48" s="49"/>
      <c r="LW48" s="48" t="s">
        <v>151</v>
      </c>
      <c r="LX48" s="53">
        <f>LX45-LX46</f>
        <v>2994868.059999994</v>
      </c>
      <c r="LY48" s="54"/>
      <c r="LZ48" s="53">
        <f>LZ45-LZ46</f>
        <v>2401302.770000007</v>
      </c>
      <c r="MA48" s="49"/>
      <c r="MB48" s="167">
        <f>MB45-MB46</f>
        <v>-1045281.2800000004</v>
      </c>
      <c r="MC48" s="49"/>
      <c r="MD48" s="53">
        <f>MD45-MD46</f>
        <v>-2689983.1005000025</v>
      </c>
      <c r="ME48" s="49"/>
      <c r="MF48" s="53">
        <f>MF45-MF46</f>
        <v>67453.250000000175</v>
      </c>
      <c r="MG48" s="49"/>
      <c r="MH48" s="53">
        <f>MH45-MH46</f>
        <v>1728359.6995000013</v>
      </c>
      <c r="MK48" s="48" t="s">
        <v>151</v>
      </c>
      <c r="ML48" s="53">
        <f>ML45-ML46</f>
        <v>1771427.2200000212</v>
      </c>
      <c r="MM48" s="54"/>
      <c r="MN48" s="53">
        <f>MN45-MN46</f>
        <v>1830745.8399999933</v>
      </c>
      <c r="MO48" s="49"/>
      <c r="MP48" s="167">
        <f>MP45-MP46</f>
        <v>-707765.68999999913</v>
      </c>
      <c r="MQ48" s="49"/>
      <c r="MR48" s="53">
        <f>MR45-MR46</f>
        <v>-1445852.1458929172</v>
      </c>
      <c r="MS48" s="49"/>
      <c r="MT48" s="53">
        <f>MT45-MT46</f>
        <v>74522.369999999893</v>
      </c>
      <c r="MU48" s="49"/>
      <c r="MV48" s="53">
        <f>MV45-MV46</f>
        <v>1523077.5941070977</v>
      </c>
      <c r="MY48" s="48" t="s">
        <v>151</v>
      </c>
      <c r="MZ48" s="53">
        <f>MZ45-MZ46</f>
        <v>3218209.0799999926</v>
      </c>
      <c r="NA48" s="54"/>
      <c r="NB48" s="53">
        <f>NB45-NB46</f>
        <v>1947613.9300000016</v>
      </c>
      <c r="NC48" s="49"/>
      <c r="ND48" s="159">
        <f>ND45-ND46</f>
        <v>-231073.73999999976</v>
      </c>
      <c r="NE48" s="49"/>
      <c r="NF48" s="53">
        <f>NF45-NF46</f>
        <v>-2075922.3204999997</v>
      </c>
      <c r="NG48" s="49"/>
      <c r="NH48" s="53">
        <f>NH45-NH46</f>
        <v>63365.130000000667</v>
      </c>
      <c r="NI48" s="49"/>
      <c r="NJ48" s="53">
        <f>NJ45-NJ46</f>
        <v>2922192.0794999963</v>
      </c>
      <c r="NL48" s="48" t="s">
        <v>151</v>
      </c>
      <c r="NM48" s="53">
        <f>NM45-NM46</f>
        <v>11722490.919999996</v>
      </c>
      <c r="NN48" s="54"/>
      <c r="NO48" s="53">
        <f>NO45-NO46</f>
        <v>1661766.0799999996</v>
      </c>
      <c r="NP48" s="49"/>
      <c r="NQ48" s="159">
        <f>NQ45-NQ46</f>
        <v>-411368.23</v>
      </c>
      <c r="NR48" s="166"/>
      <c r="NS48" s="53">
        <f>NS45-NS46</f>
        <v>-1195082.3951070802</v>
      </c>
      <c r="NT48" s="49"/>
      <c r="NU48" s="53">
        <f>NU45-NU46</f>
        <v>-3.8562575355172157E-10</v>
      </c>
      <c r="NV48" s="49"/>
      <c r="NW48" s="53">
        <f>NW45-NW46</f>
        <v>11777806.37489292</v>
      </c>
      <c r="NY48" s="48" t="s">
        <v>151</v>
      </c>
      <c r="NZ48" s="53">
        <f>NZ45-NZ46</f>
        <v>2275109.0599999959</v>
      </c>
      <c r="OA48" s="54"/>
      <c r="OB48" s="53">
        <f>OB45-OB46</f>
        <v>3075451.4199999911</v>
      </c>
      <c r="OC48" s="49"/>
      <c r="OD48" s="159">
        <f>OD45-OD46</f>
        <v>-685518.82000000007</v>
      </c>
      <c r="OE48" s="49"/>
      <c r="OF48" s="53">
        <f>OF45-OF46</f>
        <v>-3695138.8505000034</v>
      </c>
      <c r="OG48" s="49"/>
      <c r="OH48" s="53">
        <f>OH45-OH46</f>
        <v>-353262.3178299882</v>
      </c>
      <c r="OI48" s="49"/>
      <c r="OJ48" s="53">
        <f>OJ45-OJ46</f>
        <v>616640.4916699985</v>
      </c>
      <c r="OL48" s="48" t="s">
        <v>151</v>
      </c>
      <c r="OM48" s="53">
        <f>OM45-OM46</f>
        <v>-301517.97999999789</v>
      </c>
      <c r="ON48" s="54"/>
      <c r="OO48" s="53">
        <f>OO45-OO46</f>
        <v>1112696.3500000054</v>
      </c>
      <c r="OP48" s="49"/>
      <c r="OQ48" s="132">
        <f>OQ45-OQ46</f>
        <v>0</v>
      </c>
      <c r="OR48" s="53"/>
      <c r="OS48" s="53">
        <f>OS45-OS46</f>
        <v>1938971.6606000015</v>
      </c>
      <c r="OT48" s="49"/>
      <c r="OU48" s="53">
        <f>OU45-OU46</f>
        <v>-30557.669999999212</v>
      </c>
      <c r="OV48" s="49"/>
      <c r="OW48" s="53">
        <f>OW45-OW46</f>
        <v>2719592.3606000105</v>
      </c>
      <c r="OY48" s="48" t="s">
        <v>151</v>
      </c>
      <c r="OZ48" s="53">
        <f>OZ45-OZ46</f>
        <v>266088.09999998682</v>
      </c>
      <c r="PA48" s="54"/>
      <c r="PB48" s="53">
        <f>PB45-PB46</f>
        <v>1331517.5199999972</v>
      </c>
      <c r="PC48" s="49"/>
      <c r="PD48" s="132">
        <f>PD45-PD46</f>
        <v>0</v>
      </c>
      <c r="PE48" s="53"/>
      <c r="PF48" s="53">
        <f>PF45-PF46</f>
        <v>6841668.8696666667</v>
      </c>
      <c r="PG48" s="49"/>
      <c r="PH48" s="53">
        <f>PH45-PH46</f>
        <v>-266850.80000000226</v>
      </c>
      <c r="PI48" s="49"/>
      <c r="PJ48" s="53">
        <f>PJ45-PJ46</f>
        <v>8172423.6896666493</v>
      </c>
      <c r="PL48" s="48" t="s">
        <v>151</v>
      </c>
      <c r="PM48" s="53">
        <f>PM45-PM46</f>
        <v>4370715.1100000059</v>
      </c>
      <c r="PN48" s="54"/>
      <c r="PO48" s="53">
        <f>PO45-PO46</f>
        <v>1071570.8200000008</v>
      </c>
      <c r="PP48" s="49"/>
      <c r="PQ48" s="132">
        <f>PQ45-PQ46</f>
        <v>0</v>
      </c>
      <c r="PR48" s="53"/>
      <c r="PS48" s="53">
        <f>PS45-PS46</f>
        <v>-707537.84999999986</v>
      </c>
      <c r="PT48" s="49"/>
      <c r="PU48" s="53">
        <f>PU45-PU46</f>
        <v>-38700.069999998392</v>
      </c>
      <c r="PV48" s="49"/>
      <c r="PW48" s="53">
        <f>PW45-PW46</f>
        <v>4696048.0100000156</v>
      </c>
      <c r="PY48" s="48" t="s">
        <v>151</v>
      </c>
      <c r="PZ48" s="53">
        <f>PZ45-PZ46</f>
        <v>60338.36999999659</v>
      </c>
      <c r="QA48" s="54"/>
      <c r="QB48" s="53">
        <f>QB45-QB46</f>
        <v>1394215.4700000023</v>
      </c>
      <c r="QC48" s="49"/>
      <c r="QD48" s="53">
        <f>QD45-QD46</f>
        <v>12040.499999999985</v>
      </c>
      <c r="QE48" s="53"/>
      <c r="QF48" s="53">
        <f>QF45-QF46</f>
        <v>-184085.83999999973</v>
      </c>
      <c r="QG48" s="49"/>
      <c r="QH48" s="53">
        <f>QH45-QH46</f>
        <v>7159.9999999993815</v>
      </c>
      <c r="QI48" s="49"/>
      <c r="QJ48" s="53">
        <f>QJ45-QJ46</f>
        <v>1289668.4999999981</v>
      </c>
      <c r="QL48" s="48" t="s">
        <v>151</v>
      </c>
      <c r="QM48" s="53">
        <f>QM45-QM46</f>
        <v>305592.43000000069</v>
      </c>
      <c r="QN48" s="54"/>
      <c r="QO48" s="53">
        <f>QO45-QO46</f>
        <v>1343668.9300000011</v>
      </c>
      <c r="QP48" s="49"/>
      <c r="QQ48" s="53">
        <f>QQ45-QQ46</f>
        <v>51972.490000000013</v>
      </c>
      <c r="QR48" s="53"/>
      <c r="QS48" s="53">
        <f>QS45-QS46</f>
        <v>-474261.85999999987</v>
      </c>
      <c r="QT48" s="49"/>
      <c r="QU48" s="53">
        <f>QU45-QU46</f>
        <v>-128464.84999999935</v>
      </c>
      <c r="QV48" s="49"/>
      <c r="QW48" s="53">
        <f>QW45-QW46</f>
        <v>1098507.1399999997</v>
      </c>
      <c r="QY48" s="48" t="s">
        <v>151</v>
      </c>
      <c r="QZ48" s="53">
        <f>QZ45-QZ46</f>
        <v>97465.949999999619</v>
      </c>
      <c r="RA48" s="54"/>
      <c r="RB48" s="53">
        <f>RB45-RB46</f>
        <v>918031.71999999951</v>
      </c>
      <c r="RC48" s="49"/>
      <c r="RD48" s="53">
        <f>RD45-RD46</f>
        <v>-35835.689999999922</v>
      </c>
      <c r="RE48" s="53"/>
      <c r="RF48" s="53">
        <f>RF45-RF46</f>
        <v>-74750.349999999744</v>
      </c>
      <c r="RG48" s="49"/>
      <c r="RH48" s="53">
        <f>RH45-RH46</f>
        <v>-68171.810000000827</v>
      </c>
      <c r="RI48" s="49"/>
      <c r="RJ48" s="146">
        <f>RJ45-RJ46</f>
        <v>836739.81999999855</v>
      </c>
      <c r="RL48" s="48" t="s">
        <v>151</v>
      </c>
      <c r="RM48" s="53">
        <f>RM45-RM46</f>
        <v>342221.970000008</v>
      </c>
      <c r="RN48" s="54"/>
      <c r="RO48" s="53">
        <f>RO45-RO46</f>
        <v>1448149.1500000018</v>
      </c>
      <c r="RP48" s="49"/>
      <c r="RQ48" s="53">
        <f>RQ45-RQ46</f>
        <v>-18971.869999999471</v>
      </c>
      <c r="RR48" s="53"/>
      <c r="RS48" s="53">
        <f>RS45-RS46</f>
        <v>948266.64000000106</v>
      </c>
      <c r="RT48" s="49"/>
      <c r="RU48" s="53">
        <f>RU45-RU46</f>
        <v>-1095032.8400000024</v>
      </c>
      <c r="RV48" s="49"/>
      <c r="RW48" s="53">
        <f>RW45-RW46</f>
        <v>1624633.0500000082</v>
      </c>
      <c r="RY48" s="48" t="s">
        <v>151</v>
      </c>
      <c r="RZ48" s="53">
        <f>RZ45-RZ46</f>
        <v>617754.51999999688</v>
      </c>
      <c r="SA48" s="54"/>
      <c r="SB48" s="53">
        <f>SB45-SB46</f>
        <v>1267246.9500000011</v>
      </c>
      <c r="SC48" s="49"/>
      <c r="SD48" s="53">
        <f>SD45-SD46</f>
        <v>-264588.72000000044</v>
      </c>
      <c r="SE48" s="53">
        <f>SE45-SE46</f>
        <v>0</v>
      </c>
      <c r="SF48" s="53">
        <f>SF45-SF46</f>
        <v>-296159.7999999997</v>
      </c>
      <c r="SG48" s="49"/>
      <c r="SH48" s="53">
        <f>SH45-SH46</f>
        <v>-166679.14000000022</v>
      </c>
      <c r="SI48" s="49"/>
      <c r="SJ48" s="53">
        <f>SJ45-SJ46</f>
        <v>1157573.8099999982</v>
      </c>
      <c r="SL48" s="48" t="s">
        <v>151</v>
      </c>
      <c r="SM48" s="53">
        <f>SM45-SM46</f>
        <v>462815.5999999998</v>
      </c>
      <c r="SN48" s="54"/>
      <c r="SO48" s="53">
        <f>SO45-SO46</f>
        <v>1024372.3299999994</v>
      </c>
      <c r="SP48" s="49"/>
      <c r="SQ48" s="53">
        <f>SQ45-SQ46</f>
        <v>-11138.009999999893</v>
      </c>
      <c r="SR48" s="53">
        <f>SR45-SR46</f>
        <v>0</v>
      </c>
      <c r="SS48" s="53">
        <f>SS45-SS46</f>
        <v>288625.31999999954</v>
      </c>
      <c r="ST48" s="49"/>
      <c r="SU48" s="53">
        <f>SU45-SU46</f>
        <v>-910225.16999999981</v>
      </c>
      <c r="SV48" s="49"/>
      <c r="SW48" s="53">
        <f>SW45-SW46</f>
        <v>854450.07000000007</v>
      </c>
      <c r="SY48" s="48" t="s">
        <v>151</v>
      </c>
      <c r="SZ48" s="53">
        <f>SZ45-SZ46</f>
        <v>47381.429999998989</v>
      </c>
      <c r="TA48" s="54"/>
      <c r="TB48" s="53">
        <f>TB45-TB46</f>
        <v>812684.10999999964</v>
      </c>
      <c r="TC48" s="49"/>
      <c r="TD48" s="53">
        <f>TD45-TD46</f>
        <v>123276.15999999992</v>
      </c>
      <c r="TE48" s="53">
        <f>TE45-TE46</f>
        <v>0</v>
      </c>
      <c r="TF48" s="53">
        <f>TF45-TF46</f>
        <v>-381159.25999999983</v>
      </c>
      <c r="TG48" s="49"/>
      <c r="TH48" s="53">
        <f>TH45-TH46</f>
        <v>-20363.03000000001</v>
      </c>
      <c r="TI48" s="49"/>
      <c r="TJ48" s="53">
        <f>TJ45-TJ46</f>
        <v>581819.40999999805</v>
      </c>
      <c r="TL48" s="48" t="s">
        <v>151</v>
      </c>
      <c r="TM48" s="53">
        <f>TM45-TM46</f>
        <v>1954443.2700000098</v>
      </c>
      <c r="TN48" s="54"/>
      <c r="TO48" s="53">
        <f>TO45-TO46</f>
        <v>-722.32000000234984</v>
      </c>
      <c r="TP48" s="49"/>
      <c r="TQ48" s="53">
        <f>TQ45-TQ46</f>
        <v>-91669.010000000155</v>
      </c>
      <c r="TR48" s="53">
        <f>TR45-TR46</f>
        <v>0</v>
      </c>
      <c r="TS48" s="53">
        <f>TS45-TS46</f>
        <v>-37276.509999994189</v>
      </c>
      <c r="TT48" s="49"/>
      <c r="TU48" s="53">
        <f>TU45-TU46</f>
        <v>-75289.709999999628</v>
      </c>
      <c r="TV48" s="49"/>
      <c r="TW48" s="53">
        <f>TW45-TW46</f>
        <v>1749485.7200000132</v>
      </c>
      <c r="TY48" s="48" t="s">
        <v>151</v>
      </c>
      <c r="TZ48" s="53">
        <f>TZ45-TZ46</f>
        <v>3029020.2199999979</v>
      </c>
      <c r="UA48" s="54"/>
      <c r="UB48" s="53">
        <f>UB45-UB46</f>
        <v>426222.5200000031</v>
      </c>
      <c r="UC48" s="49"/>
      <c r="UD48" s="53">
        <f>UD45-UD46</f>
        <v>233781.06</v>
      </c>
      <c r="UE48" s="53">
        <f>UE45-UE46</f>
        <v>0</v>
      </c>
      <c r="UF48" s="53">
        <f>UF45-UF46</f>
        <v>-361732.24999999627</v>
      </c>
      <c r="UG48" s="49"/>
      <c r="UH48" s="53">
        <f>UH45-UH46</f>
        <v>-34014.399999996196</v>
      </c>
      <c r="UI48" s="49"/>
      <c r="UJ48" s="53">
        <f>UJ45-UJ46</f>
        <v>3293277.1500000083</v>
      </c>
      <c r="UL48" s="48" t="s">
        <v>151</v>
      </c>
      <c r="UM48" s="53">
        <f>UM45-UM46</f>
        <v>-1374545.8399999994</v>
      </c>
      <c r="UN48" s="54"/>
      <c r="UO48" s="53">
        <f>UO45-UO46</f>
        <v>268689.84999999905</v>
      </c>
      <c r="UP48" s="49"/>
      <c r="UQ48" s="53">
        <f>UQ45-UQ46</f>
        <v>103160.17999999988</v>
      </c>
      <c r="UR48" s="53">
        <f>UR45-UR46</f>
        <v>0</v>
      </c>
      <c r="US48" s="53">
        <f>US45-US46</f>
        <v>-473844.53000000131</v>
      </c>
      <c r="UT48" s="49"/>
      <c r="UU48" s="53">
        <f>UU45-UU46</f>
        <v>-64529.189999999944</v>
      </c>
      <c r="UV48" s="49"/>
      <c r="UW48" s="53">
        <f>UW45-UW46</f>
        <v>-1541069.5300000035</v>
      </c>
      <c r="UY48" s="48" t="s">
        <v>151</v>
      </c>
      <c r="UZ48" s="53">
        <f>UZ45-UZ46</f>
        <v>608538.97000000079</v>
      </c>
      <c r="VA48" s="54"/>
      <c r="VB48" s="53">
        <f>VB45-VB46</f>
        <v>43892.799999999886</v>
      </c>
      <c r="VC48" s="49"/>
      <c r="VD48" s="53">
        <f>VD45-VD46</f>
        <v>-32566.470000000023</v>
      </c>
      <c r="VE48" s="53">
        <f>VE45-VE46</f>
        <v>0</v>
      </c>
      <c r="VF48" s="53">
        <f>VF45-VF46</f>
        <v>-314855.61999999906</v>
      </c>
      <c r="VG48" s="49"/>
      <c r="VH48" s="53">
        <f>VH45-VH46</f>
        <v>-30268.089999999851</v>
      </c>
      <c r="VI48" s="49"/>
      <c r="VJ48" s="53">
        <f>VJ45-VJ46</f>
        <v>274741.59000000381</v>
      </c>
      <c r="VL48" s="48" t="s">
        <v>151</v>
      </c>
      <c r="VM48" s="53">
        <f>VM45-VM46</f>
        <v>5205624.7499999972</v>
      </c>
      <c r="VN48" s="54"/>
      <c r="VO48" s="53">
        <f>VO45-VO46</f>
        <v>47243.21205993271</v>
      </c>
      <c r="VP48" s="49"/>
      <c r="VQ48" s="53">
        <f>VQ45-VQ46</f>
        <v>573194.12999999919</v>
      </c>
      <c r="VR48" s="53">
        <f>VR45-VR46</f>
        <v>0</v>
      </c>
      <c r="VS48" s="53">
        <f>VS45-VS46</f>
        <v>-1686267.3405993106</v>
      </c>
      <c r="VT48" s="49"/>
      <c r="VU48" s="53">
        <f>VU45-VU46</f>
        <v>-973455.19999999693</v>
      </c>
      <c r="VV48" s="49"/>
      <c r="VW48" s="53">
        <f>VW45-VW46</f>
        <v>3166339.55146062</v>
      </c>
      <c r="VY48" s="48" t="s">
        <v>151</v>
      </c>
      <c r="VZ48" s="53">
        <f>VZ45-VZ46</f>
        <v>466643.51706620498</v>
      </c>
      <c r="WA48" s="54"/>
      <c r="WB48" s="53">
        <f>WB45-WB46</f>
        <v>1551193.4479400658</v>
      </c>
      <c r="WC48" s="49"/>
      <c r="WD48" s="53">
        <f>WD45-WD46</f>
        <v>128139.25999999954</v>
      </c>
      <c r="WE48" s="53">
        <f>WE45-WE46</f>
        <v>0</v>
      </c>
      <c r="WF48" s="53">
        <f>WF45-WF46</f>
        <v>201915.31353310356</v>
      </c>
      <c r="WG48" s="49"/>
      <c r="WH48" s="53">
        <f>WH45-WH46</f>
        <v>1652.4999999999204</v>
      </c>
      <c r="WI48" s="49"/>
      <c r="WJ48" s="53">
        <f>WJ45-WJ46</f>
        <v>2349544.0385393808</v>
      </c>
      <c r="WL48" s="48" t="s">
        <v>151</v>
      </c>
      <c r="WM48" s="53">
        <f>WM45-WM46</f>
        <v>1211183.852933794</v>
      </c>
      <c r="WN48" s="54"/>
      <c r="WO48" s="53">
        <f>WO45-WO46</f>
        <v>1226317</v>
      </c>
      <c r="WP48" s="49"/>
      <c r="WQ48" s="53">
        <f>WQ45-WQ46</f>
        <v>148389.03000000026</v>
      </c>
      <c r="WR48" s="53">
        <f>WR45-WR46</f>
        <v>0</v>
      </c>
      <c r="WS48" s="53">
        <f>WS45-WS46</f>
        <v>-134552.72293379414</v>
      </c>
      <c r="WT48" s="49"/>
      <c r="WU48" s="53">
        <f>WU45-WU46</f>
        <v>-356289.51999999984</v>
      </c>
      <c r="WV48" s="49"/>
      <c r="WW48" s="53">
        <f>WW45-WW46</f>
        <v>2095047.6400000001</v>
      </c>
      <c r="WY48" s="48" t="s">
        <v>151</v>
      </c>
      <c r="WZ48" s="53">
        <f>WZ45-WZ46</f>
        <v>-519016.76000000059</v>
      </c>
      <c r="XA48" s="54"/>
      <c r="XB48" s="53">
        <f>XB45-XB46</f>
        <v>1120141.8400000003</v>
      </c>
      <c r="XC48" s="49"/>
      <c r="XD48" s="53">
        <f>XD45-XD46</f>
        <v>246586.7100000002</v>
      </c>
      <c r="XE48" s="53">
        <f>XE45-XE46</f>
        <v>0</v>
      </c>
      <c r="XF48" s="53">
        <f>XF45-XF46</f>
        <v>-167450.53000000003</v>
      </c>
      <c r="XG48" s="49"/>
      <c r="XH48" s="53">
        <f>XH45-XH46</f>
        <v>359594.52</v>
      </c>
      <c r="XI48" s="49"/>
      <c r="XJ48" s="53">
        <f>XJ45-XJ46</f>
        <v>1039855.7799999996</v>
      </c>
      <c r="XL48" s="48" t="s">
        <v>151</v>
      </c>
      <c r="XM48" s="53">
        <f>XM45-XM46</f>
        <v>6273938.6377091855</v>
      </c>
      <c r="XN48" s="54"/>
      <c r="XO48" s="53">
        <f>XO45-XO46</f>
        <v>2172813.3400000008</v>
      </c>
      <c r="XP48" s="49"/>
      <c r="XQ48" s="53">
        <f>XQ45-XQ46</f>
        <v>13121.580000000162</v>
      </c>
      <c r="XR48" s="53">
        <f>XR45-XR46</f>
        <v>0</v>
      </c>
      <c r="XS48" s="53">
        <f>XS45-XS46</f>
        <v>-541067.85719354451</v>
      </c>
      <c r="XT48" s="49"/>
      <c r="XU48" s="53">
        <f>XU45-XU46</f>
        <v>-1534151.9657862289</v>
      </c>
      <c r="XV48" s="49"/>
      <c r="XW48" s="53">
        <f>XW45-XW46</f>
        <v>6384653.7347294157</v>
      </c>
      <c r="XY48" s="48"/>
      <c r="XZ48" s="53"/>
      <c r="YA48" s="54"/>
      <c r="YB48" s="53"/>
      <c r="YC48" s="49"/>
      <c r="YD48" s="53"/>
      <c r="YE48" s="53"/>
      <c r="YF48" s="53"/>
      <c r="YG48" s="49"/>
      <c r="YH48" s="53"/>
      <c r="YI48" s="49"/>
      <c r="YJ48" s="53"/>
    </row>
    <row r="49" spans="1:660">
      <c r="B49" s="45"/>
      <c r="C49" s="45"/>
      <c r="D49" s="45"/>
      <c r="E49" s="45"/>
      <c r="F49" s="168"/>
      <c r="G49" s="45"/>
      <c r="H49" s="45"/>
      <c r="I49" s="45"/>
      <c r="J49" s="45"/>
      <c r="K49" s="45"/>
      <c r="L49" s="45"/>
      <c r="P49" s="45"/>
      <c r="Q49" s="45"/>
      <c r="R49" s="45"/>
      <c r="S49" s="45"/>
      <c r="T49" s="168"/>
      <c r="U49" s="45"/>
      <c r="V49" s="45"/>
      <c r="W49" s="45"/>
      <c r="X49" s="45"/>
      <c r="Y49" s="45"/>
      <c r="Z49" s="45"/>
      <c r="AD49" s="45"/>
      <c r="AE49" s="45"/>
      <c r="AF49" s="45"/>
      <c r="AG49" s="45"/>
      <c r="AH49" s="168"/>
      <c r="AI49" s="45"/>
      <c r="AJ49" s="45"/>
      <c r="AK49" s="45"/>
      <c r="AL49" s="45"/>
      <c r="AM49" s="45"/>
      <c r="AN49" s="45"/>
      <c r="AR49" s="45"/>
      <c r="AS49" s="45"/>
      <c r="AT49" s="45"/>
      <c r="AU49" s="45"/>
      <c r="AV49" s="168"/>
      <c r="AW49" s="45"/>
      <c r="AX49" s="45"/>
      <c r="AY49" s="45"/>
      <c r="AZ49" s="45"/>
      <c r="BA49" s="45"/>
      <c r="BB49" s="45"/>
      <c r="BF49" s="45"/>
      <c r="BG49" s="45"/>
      <c r="BH49" s="45"/>
      <c r="BI49" s="45"/>
      <c r="BJ49" s="168"/>
      <c r="BK49" s="45"/>
      <c r="BL49" s="45"/>
      <c r="BM49" s="45"/>
      <c r="BN49" s="45"/>
      <c r="BO49" s="45"/>
      <c r="BP49" s="45"/>
      <c r="BT49" s="45"/>
      <c r="BU49" s="45"/>
      <c r="BV49" s="45"/>
      <c r="BW49" s="45"/>
      <c r="BX49" s="168"/>
      <c r="BY49" s="45"/>
      <c r="BZ49" s="45"/>
      <c r="CA49" s="45"/>
      <c r="CB49" s="45"/>
      <c r="CC49" s="45"/>
      <c r="CD49" s="45"/>
      <c r="CH49" s="45"/>
      <c r="CI49" s="45"/>
      <c r="CJ49" s="45"/>
      <c r="CK49" s="45"/>
      <c r="CL49" s="168"/>
      <c r="CM49" s="45"/>
      <c r="CN49" s="45"/>
      <c r="CO49" s="45"/>
      <c r="CP49" s="45"/>
      <c r="CQ49" s="45"/>
      <c r="CR49" s="45"/>
      <c r="CV49" s="45"/>
      <c r="CW49" s="45"/>
      <c r="CX49" s="45"/>
      <c r="CY49" s="45"/>
      <c r="CZ49" s="168"/>
      <c r="DA49" s="45"/>
      <c r="DB49" s="45"/>
      <c r="DC49" s="45"/>
      <c r="DD49" s="45"/>
      <c r="DE49" s="45"/>
      <c r="DF49" s="45"/>
      <c r="DJ49" s="45"/>
      <c r="DK49" s="45"/>
      <c r="DL49" s="45"/>
      <c r="DM49" s="45"/>
      <c r="DN49" s="168"/>
      <c r="DO49" s="45"/>
      <c r="DP49" s="45"/>
      <c r="DQ49" s="45"/>
      <c r="DR49" s="45"/>
      <c r="DS49" s="45"/>
      <c r="DT49" s="45"/>
      <c r="DX49" s="45"/>
      <c r="DY49" s="45"/>
      <c r="DZ49" s="45"/>
      <c r="EA49" s="45"/>
      <c r="EB49" s="168"/>
      <c r="EC49" s="45"/>
      <c r="ED49" s="45"/>
      <c r="EE49" s="45"/>
      <c r="EF49" s="45"/>
      <c r="EG49" s="45"/>
      <c r="EH49" s="45"/>
      <c r="EL49" s="45"/>
      <c r="EM49" s="45"/>
      <c r="EN49" s="45"/>
      <c r="EO49" s="45"/>
      <c r="EP49" s="168"/>
      <c r="EQ49" s="45"/>
      <c r="ER49" s="45"/>
      <c r="ES49" s="45"/>
      <c r="ET49" s="45"/>
      <c r="EU49" s="45"/>
      <c r="EV49" s="45"/>
      <c r="EZ49" s="45"/>
      <c r="FA49" s="45"/>
      <c r="FB49" s="45"/>
      <c r="FC49" s="45"/>
      <c r="FD49" s="168"/>
      <c r="FE49" s="45"/>
      <c r="FF49" s="45"/>
      <c r="FG49" s="45"/>
      <c r="FH49" s="45"/>
      <c r="FI49" s="45"/>
      <c r="FJ49" s="45"/>
      <c r="FN49" s="45"/>
      <c r="FO49" s="45"/>
      <c r="FP49" s="45"/>
      <c r="FQ49" s="45"/>
      <c r="FR49" s="168"/>
      <c r="FS49" s="45"/>
      <c r="FT49" s="45"/>
      <c r="FU49" s="45"/>
      <c r="FV49" s="45"/>
      <c r="FW49" s="45"/>
      <c r="FX49" s="45"/>
      <c r="GB49" s="45"/>
      <c r="GC49" s="45"/>
      <c r="GD49" s="45"/>
      <c r="GE49" s="45"/>
      <c r="GF49" s="168"/>
      <c r="GG49" s="45"/>
      <c r="GH49" s="45"/>
      <c r="GI49" s="45"/>
      <c r="GJ49" s="45"/>
      <c r="GK49" s="45"/>
      <c r="GL49" s="45"/>
      <c r="GP49" s="45"/>
      <c r="GQ49" s="45"/>
      <c r="GR49" s="45"/>
      <c r="GS49" s="45"/>
      <c r="GT49" s="168"/>
      <c r="GU49" s="45"/>
      <c r="GV49" s="45"/>
      <c r="GW49" s="45"/>
      <c r="GX49" s="45"/>
      <c r="GY49" s="45"/>
      <c r="GZ49" s="45"/>
      <c r="HD49" s="45"/>
      <c r="HE49" s="45"/>
      <c r="HF49" s="45"/>
      <c r="HG49" s="45"/>
      <c r="HH49" s="168"/>
      <c r="HI49" s="45"/>
      <c r="HJ49" s="45"/>
      <c r="HK49" s="45"/>
      <c r="HL49" s="45"/>
      <c r="HM49" s="45"/>
      <c r="HN49" s="45"/>
      <c r="HR49" s="45"/>
      <c r="HS49" s="45"/>
      <c r="HT49" s="45"/>
      <c r="HU49" s="45"/>
      <c r="HV49" s="168"/>
      <c r="HW49" s="45"/>
      <c r="HX49" s="45"/>
      <c r="HY49" s="45"/>
      <c r="HZ49" s="45"/>
      <c r="IA49" s="45"/>
      <c r="IB49" s="45"/>
      <c r="IF49" s="45"/>
      <c r="IG49" s="45"/>
      <c r="IH49" s="45"/>
      <c r="II49" s="45"/>
      <c r="IJ49" s="168"/>
      <c r="IK49" s="45"/>
      <c r="IL49" s="45"/>
      <c r="IM49" s="45"/>
      <c r="IN49" s="45"/>
      <c r="IO49" s="45"/>
      <c r="IP49" s="45"/>
      <c r="IT49" s="45"/>
      <c r="IU49" s="45"/>
      <c r="IV49" s="45"/>
      <c r="IW49" s="45"/>
      <c r="IX49" s="168"/>
      <c r="IY49" s="45"/>
      <c r="IZ49" s="45"/>
      <c r="JA49" s="45"/>
      <c r="JB49" s="45"/>
      <c r="JC49" s="45"/>
      <c r="JD49" s="45"/>
      <c r="JH49" s="45"/>
      <c r="JI49" s="45"/>
      <c r="JJ49" s="45"/>
      <c r="JK49" s="45"/>
      <c r="JL49" s="168"/>
      <c r="JM49" s="45"/>
      <c r="JN49" s="45"/>
      <c r="JO49" s="45"/>
      <c r="JP49" s="45"/>
      <c r="JQ49" s="45"/>
      <c r="JR49" s="45"/>
      <c r="JV49" s="45"/>
      <c r="JW49" s="45"/>
      <c r="JX49" s="45"/>
      <c r="JY49" s="45"/>
      <c r="JZ49" s="168"/>
      <c r="KA49" s="45"/>
      <c r="KB49" s="45"/>
      <c r="KC49" s="45"/>
      <c r="KD49" s="45"/>
      <c r="KE49" s="45"/>
      <c r="KF49" s="45"/>
      <c r="KJ49" s="45"/>
      <c r="KK49" s="45"/>
      <c r="KL49" s="45"/>
      <c r="KM49" s="45"/>
      <c r="KN49" s="168"/>
      <c r="KO49" s="45"/>
      <c r="KP49" s="45"/>
      <c r="KQ49" s="45"/>
      <c r="KR49" s="45"/>
      <c r="KS49" s="45"/>
      <c r="KT49" s="45"/>
      <c r="KX49" s="45"/>
      <c r="KY49" s="45"/>
      <c r="KZ49" s="45"/>
      <c r="LA49" s="45"/>
      <c r="LB49" s="97"/>
      <c r="LC49" s="45"/>
      <c r="LD49" s="45"/>
      <c r="LE49" s="45"/>
      <c r="LF49" s="45"/>
      <c r="LG49" s="45"/>
      <c r="LH49" s="45"/>
      <c r="LK49" s="45"/>
      <c r="LL49" s="45"/>
      <c r="LM49" s="45"/>
      <c r="LN49" s="45"/>
      <c r="LO49" s="45"/>
      <c r="LP49" s="168"/>
      <c r="LQ49" s="45"/>
      <c r="LR49" s="45"/>
      <c r="LS49" s="45"/>
      <c r="LT49" s="45"/>
      <c r="LU49" s="45"/>
      <c r="LV49" s="45"/>
      <c r="LX49" s="45"/>
      <c r="LY49" s="45"/>
      <c r="LZ49" s="45"/>
      <c r="MA49" s="45"/>
      <c r="MB49" s="168"/>
      <c r="MC49" s="45"/>
      <c r="MD49" s="45"/>
      <c r="ME49" s="45"/>
      <c r="MF49" s="45"/>
      <c r="MG49" s="45"/>
      <c r="MH49" s="45"/>
      <c r="ML49" s="45"/>
      <c r="MM49" s="45"/>
      <c r="MN49" s="45"/>
      <c r="MO49" s="45"/>
      <c r="MP49" s="168"/>
      <c r="MQ49" s="45"/>
      <c r="MR49" s="45"/>
      <c r="MS49" s="45"/>
      <c r="MT49" s="45"/>
      <c r="MU49" s="45"/>
      <c r="MV49" s="45"/>
      <c r="MZ49" s="45"/>
      <c r="NA49" s="45"/>
      <c r="NB49" s="45"/>
      <c r="NC49" s="45"/>
      <c r="ND49" s="97"/>
      <c r="NE49" s="45"/>
      <c r="NF49" s="45"/>
      <c r="NG49" s="45"/>
      <c r="NH49" s="45"/>
      <c r="NI49" s="45"/>
      <c r="NJ49" s="45"/>
      <c r="NM49" s="45"/>
      <c r="NN49" s="45"/>
      <c r="NO49" s="45"/>
      <c r="NP49" s="45"/>
      <c r="NQ49" s="45"/>
      <c r="NR49" s="168"/>
      <c r="NS49" s="45"/>
      <c r="NT49" s="45"/>
      <c r="NU49" s="45"/>
      <c r="NV49" s="45"/>
      <c r="NW49" s="45"/>
      <c r="NZ49" s="45"/>
      <c r="OA49" s="45"/>
      <c r="OB49" s="45"/>
      <c r="OC49" s="45"/>
      <c r="OD49" s="45"/>
      <c r="OE49" s="45"/>
      <c r="OF49" s="45"/>
      <c r="OG49" s="45"/>
      <c r="OH49" s="45"/>
      <c r="OI49" s="45"/>
      <c r="OJ49" s="45"/>
      <c r="OM49" s="45"/>
      <c r="ON49" s="45"/>
      <c r="OO49" s="45"/>
      <c r="OP49" s="45"/>
      <c r="OQ49" s="45"/>
      <c r="OR49" s="45"/>
      <c r="OS49" s="45"/>
      <c r="OT49" s="45"/>
      <c r="OU49" s="45"/>
      <c r="OV49" s="45"/>
      <c r="OW49" s="45"/>
      <c r="OZ49" s="45"/>
      <c r="PA49" s="45"/>
      <c r="PB49" s="45"/>
      <c r="PC49" s="45"/>
      <c r="PD49" s="45"/>
      <c r="PE49" s="45"/>
      <c r="PF49" s="45"/>
      <c r="PG49" s="45"/>
      <c r="PH49" s="45"/>
      <c r="PI49" s="45"/>
      <c r="PJ49" s="45"/>
      <c r="PM49" s="45"/>
      <c r="PN49" s="45"/>
      <c r="PO49" s="45"/>
      <c r="PP49" s="45"/>
      <c r="PQ49" s="45"/>
      <c r="PR49" s="45"/>
      <c r="PS49" s="45"/>
      <c r="PT49" s="45"/>
      <c r="PU49" s="45"/>
      <c r="PV49" s="45"/>
      <c r="PW49" s="45"/>
      <c r="PZ49" s="45"/>
      <c r="QA49" s="45"/>
      <c r="QB49" s="45"/>
      <c r="QC49" s="45"/>
      <c r="QD49" s="45"/>
      <c r="QE49" s="45"/>
      <c r="QF49" s="45"/>
      <c r="QG49" s="45"/>
      <c r="QH49" s="45"/>
      <c r="QI49" s="45"/>
      <c r="QJ49" s="45"/>
      <c r="QM49" s="45"/>
      <c r="QN49" s="45"/>
      <c r="QO49" s="121"/>
      <c r="QP49" s="45"/>
      <c r="QQ49" s="45"/>
      <c r="QR49" s="45"/>
      <c r="QS49" s="45"/>
      <c r="QT49" s="45"/>
      <c r="QU49" s="45"/>
      <c r="QV49" s="45"/>
      <c r="QW49" s="45"/>
      <c r="QZ49" s="45"/>
      <c r="RA49" s="45"/>
      <c r="RB49" s="121"/>
      <c r="RC49" s="45"/>
      <c r="RD49" s="45"/>
      <c r="RE49" s="45"/>
      <c r="RF49" s="45"/>
      <c r="RG49" s="45"/>
      <c r="RH49" s="45"/>
      <c r="RI49" s="45"/>
      <c r="RJ49" s="45"/>
      <c r="RM49" s="45"/>
      <c r="RN49" s="45"/>
      <c r="RO49" s="45"/>
      <c r="RP49" s="45"/>
      <c r="RQ49" s="45"/>
      <c r="RR49" s="45"/>
      <c r="RS49" s="45"/>
      <c r="RT49" s="45"/>
      <c r="RU49" s="45"/>
      <c r="RV49" s="45"/>
      <c r="RW49" s="45"/>
      <c r="RZ49" s="45"/>
      <c r="SA49" s="45"/>
      <c r="SB49" s="45"/>
      <c r="SC49" s="45"/>
      <c r="SD49" s="45"/>
      <c r="SE49" s="45"/>
      <c r="SF49" s="45"/>
      <c r="SG49" s="45"/>
      <c r="SH49" s="45"/>
      <c r="SI49" s="45"/>
      <c r="SJ49" s="45"/>
      <c r="SM49" s="45"/>
      <c r="SN49" s="45"/>
      <c r="SO49" s="45"/>
      <c r="SP49" s="45"/>
      <c r="SQ49" s="45"/>
      <c r="SR49" s="45"/>
      <c r="SS49" s="45"/>
      <c r="ST49" s="45"/>
      <c r="SU49" s="45"/>
      <c r="SV49" s="45"/>
      <c r="SW49" s="45"/>
      <c r="SZ49" s="45"/>
      <c r="TA49" s="45"/>
      <c r="TB49" s="45"/>
      <c r="TC49" s="45"/>
      <c r="TD49" s="45"/>
      <c r="TE49" s="45"/>
      <c r="TF49" s="45"/>
      <c r="TG49" s="45"/>
      <c r="TH49" s="45"/>
      <c r="TI49" s="45"/>
      <c r="TJ49" s="45"/>
      <c r="TM49" s="45"/>
      <c r="TN49" s="45"/>
      <c r="TO49" s="45"/>
      <c r="TP49" s="45"/>
      <c r="TQ49" s="45"/>
      <c r="TR49" s="45"/>
      <c r="TS49" s="45"/>
      <c r="TT49" s="45"/>
      <c r="TU49" s="45"/>
      <c r="TV49" s="45"/>
      <c r="TW49" s="45"/>
      <c r="TZ49" s="45"/>
      <c r="UA49" s="45"/>
      <c r="UB49" s="45"/>
      <c r="UC49" s="45"/>
      <c r="UD49" s="45"/>
      <c r="UE49" s="45"/>
      <c r="UF49" s="45"/>
      <c r="UG49" s="45"/>
      <c r="UH49" s="45"/>
      <c r="UI49" s="45"/>
      <c r="UJ49" s="45"/>
      <c r="UM49" s="45"/>
      <c r="UN49" s="45"/>
      <c r="UO49" s="45"/>
      <c r="UP49" s="45"/>
      <c r="UQ49" s="45"/>
      <c r="UR49" s="45"/>
      <c r="US49" s="45"/>
      <c r="UT49" s="45"/>
      <c r="UU49" s="45"/>
      <c r="UV49" s="45"/>
      <c r="UW49" s="45"/>
      <c r="UZ49" s="45"/>
      <c r="VA49" s="45"/>
      <c r="VB49" s="45"/>
      <c r="VC49" s="45"/>
      <c r="VD49" s="45"/>
      <c r="VE49" s="45"/>
      <c r="VF49" s="45"/>
      <c r="VG49" s="45"/>
      <c r="VH49" s="45"/>
      <c r="VI49" s="45"/>
      <c r="VJ49" s="45"/>
      <c r="VM49" s="45"/>
      <c r="VN49" s="45"/>
      <c r="VO49" s="45"/>
      <c r="VP49" s="45"/>
      <c r="VQ49" s="45"/>
      <c r="VR49" s="45"/>
      <c r="VS49" s="45"/>
      <c r="VT49" s="45"/>
      <c r="VU49" s="45"/>
      <c r="VV49" s="45"/>
      <c r="VW49" s="45"/>
      <c r="VZ49" s="45"/>
      <c r="WA49" s="45"/>
      <c r="WB49" s="45"/>
      <c r="WC49" s="45"/>
      <c r="WD49" s="45"/>
      <c r="WE49" s="45"/>
      <c r="WF49" s="45"/>
      <c r="WG49" s="45"/>
      <c r="WH49" s="45"/>
      <c r="WI49" s="45"/>
      <c r="WJ49" s="45"/>
      <c r="WM49" s="45"/>
      <c r="WN49" s="45"/>
      <c r="WO49" s="45"/>
      <c r="WP49" s="45"/>
      <c r="WQ49" s="45"/>
      <c r="WR49" s="45"/>
      <c r="WS49" s="45"/>
      <c r="WT49" s="45"/>
      <c r="WU49" s="45"/>
      <c r="WV49" s="45"/>
      <c r="WW49" s="45"/>
      <c r="WZ49" s="45"/>
      <c r="XA49" s="45"/>
      <c r="XB49" s="45"/>
      <c r="XC49" s="45"/>
      <c r="XD49" s="45"/>
      <c r="XE49" s="45"/>
      <c r="XF49" s="45"/>
      <c r="XG49" s="45"/>
      <c r="XH49" s="45"/>
      <c r="XI49" s="45"/>
      <c r="XJ49" s="45"/>
      <c r="XM49" s="45"/>
      <c r="XN49" s="45"/>
      <c r="XO49" s="45"/>
      <c r="XP49" s="45"/>
      <c r="XQ49" s="45"/>
      <c r="XR49" s="45"/>
      <c r="XS49" s="45"/>
      <c r="XT49" s="45"/>
      <c r="XU49" s="45"/>
      <c r="XV49" s="45"/>
      <c r="XW49" s="45"/>
      <c r="XZ49" s="45"/>
      <c r="YA49" s="45"/>
      <c r="YB49" s="45"/>
      <c r="YC49" s="45"/>
      <c r="YD49" s="45"/>
      <c r="YE49" s="45"/>
      <c r="YF49" s="45"/>
      <c r="YG49" s="45"/>
      <c r="YH49" s="45"/>
      <c r="YI49" s="45"/>
      <c r="YJ49" s="45"/>
    </row>
    <row r="50" spans="1:660" ht="11.25" hidden="1" customHeight="1">
      <c r="B50" s="45"/>
      <c r="C50" s="45"/>
      <c r="D50" s="45"/>
      <c r="E50" s="45"/>
      <c r="F50" s="168"/>
      <c r="G50" s="45"/>
      <c r="H50" s="45"/>
      <c r="I50" s="45"/>
      <c r="J50" s="45"/>
      <c r="K50" s="45"/>
      <c r="L50" s="45"/>
      <c r="P50" s="45"/>
      <c r="Q50" s="45"/>
      <c r="R50" s="45"/>
      <c r="S50" s="45"/>
      <c r="T50" s="168"/>
      <c r="U50" s="45"/>
      <c r="V50" s="45"/>
      <c r="W50" s="45"/>
      <c r="X50" s="45"/>
      <c r="Y50" s="45"/>
      <c r="Z50" s="45"/>
      <c r="AD50" s="45"/>
      <c r="AE50" s="45"/>
      <c r="AF50" s="45"/>
      <c r="AG50" s="45"/>
      <c r="AH50" s="168"/>
      <c r="AI50" s="45"/>
      <c r="AJ50" s="45"/>
      <c r="AK50" s="45"/>
      <c r="AL50" s="45"/>
      <c r="AM50" s="45"/>
      <c r="AN50" s="45"/>
      <c r="AR50" s="45"/>
      <c r="AS50" s="45"/>
      <c r="AT50" s="45"/>
      <c r="AU50" s="45"/>
      <c r="AV50" s="168"/>
      <c r="AW50" s="45"/>
      <c r="AX50" s="45"/>
      <c r="AY50" s="45"/>
      <c r="AZ50" s="45"/>
      <c r="BA50" s="45"/>
      <c r="BB50" s="45"/>
      <c r="BF50" s="45"/>
      <c r="BG50" s="45"/>
      <c r="BH50" s="45"/>
      <c r="BI50" s="45"/>
      <c r="BJ50" s="168"/>
      <c r="BK50" s="45"/>
      <c r="BL50" s="45"/>
      <c r="BM50" s="45"/>
      <c r="BN50" s="45"/>
      <c r="BO50" s="45"/>
      <c r="BP50" s="45"/>
      <c r="BT50" s="45"/>
      <c r="BU50" s="45"/>
      <c r="BV50" s="45"/>
      <c r="BW50" s="45"/>
      <c r="BX50" s="168"/>
      <c r="BY50" s="45"/>
      <c r="BZ50" s="45"/>
      <c r="CA50" s="45"/>
      <c r="CB50" s="45"/>
      <c r="CC50" s="45"/>
      <c r="CD50" s="45"/>
      <c r="CH50" s="45"/>
      <c r="CI50" s="45"/>
      <c r="CJ50" s="45"/>
      <c r="CK50" s="45"/>
      <c r="CL50" s="168"/>
      <c r="CM50" s="45"/>
      <c r="CN50" s="45"/>
      <c r="CO50" s="45"/>
      <c r="CP50" s="45"/>
      <c r="CQ50" s="45"/>
      <c r="CR50" s="45"/>
      <c r="CV50" s="45"/>
      <c r="CW50" s="45"/>
      <c r="CX50" s="45"/>
      <c r="CY50" s="45"/>
      <c r="CZ50" s="168"/>
      <c r="DA50" s="45"/>
      <c r="DB50" s="45"/>
      <c r="DC50" s="45"/>
      <c r="DD50" s="45"/>
      <c r="DE50" s="45"/>
      <c r="DF50" s="45"/>
      <c r="DJ50" s="45"/>
      <c r="DK50" s="45"/>
      <c r="DL50" s="45"/>
      <c r="DM50" s="45"/>
      <c r="DN50" s="168"/>
      <c r="DO50" s="45"/>
      <c r="DP50" s="45"/>
      <c r="DQ50" s="45"/>
      <c r="DR50" s="45"/>
      <c r="DS50" s="45"/>
      <c r="DT50" s="45"/>
      <c r="DX50" s="45"/>
      <c r="DY50" s="45"/>
      <c r="DZ50" s="45"/>
      <c r="EA50" s="45"/>
      <c r="EB50" s="168"/>
      <c r="EC50" s="45"/>
      <c r="ED50" s="45"/>
      <c r="EE50" s="45"/>
      <c r="EF50" s="45"/>
      <c r="EG50" s="45"/>
      <c r="EH50" s="45"/>
      <c r="EL50" s="45"/>
      <c r="EM50" s="45"/>
      <c r="EN50" s="45"/>
      <c r="EO50" s="45"/>
      <c r="EP50" s="168"/>
      <c r="EQ50" s="45"/>
      <c r="ER50" s="45"/>
      <c r="ES50" s="45"/>
      <c r="ET50" s="45"/>
      <c r="EU50" s="45"/>
      <c r="EV50" s="45"/>
      <c r="EZ50" s="45"/>
      <c r="FA50" s="45"/>
      <c r="FB50" s="45"/>
      <c r="FC50" s="45"/>
      <c r="FD50" s="168"/>
      <c r="FE50" s="45"/>
      <c r="FF50" s="45"/>
      <c r="FG50" s="45"/>
      <c r="FH50" s="45"/>
      <c r="FI50" s="45"/>
      <c r="FJ50" s="45"/>
      <c r="FN50" s="45"/>
      <c r="FO50" s="45"/>
      <c r="FP50" s="45"/>
      <c r="FQ50" s="45"/>
      <c r="FR50" s="168"/>
      <c r="FS50" s="45"/>
      <c r="FT50" s="45"/>
      <c r="FU50" s="45"/>
      <c r="FV50" s="45"/>
      <c r="FW50" s="45"/>
      <c r="FX50" s="45"/>
      <c r="GB50" s="45"/>
      <c r="GC50" s="45"/>
      <c r="GD50" s="45"/>
      <c r="GE50" s="45"/>
      <c r="GF50" s="168"/>
      <c r="GG50" s="45"/>
      <c r="GH50" s="45"/>
      <c r="GI50" s="45"/>
      <c r="GJ50" s="45"/>
      <c r="GK50" s="45"/>
      <c r="GL50" s="45"/>
      <c r="GP50" s="45"/>
      <c r="GQ50" s="45"/>
      <c r="GR50" s="45"/>
      <c r="GS50" s="45"/>
      <c r="GT50" s="168"/>
      <c r="GU50" s="45"/>
      <c r="GV50" s="45"/>
      <c r="GW50" s="45"/>
      <c r="GX50" s="45"/>
      <c r="GY50" s="45"/>
      <c r="GZ50" s="45"/>
      <c r="HD50" s="45"/>
      <c r="HE50" s="45"/>
      <c r="HF50" s="45"/>
      <c r="HG50" s="45"/>
      <c r="HH50" s="168"/>
      <c r="HI50" s="45"/>
      <c r="HJ50" s="45"/>
      <c r="HK50" s="45"/>
      <c r="HL50" s="45"/>
      <c r="HM50" s="45"/>
      <c r="HN50" s="45"/>
      <c r="HR50" s="45"/>
      <c r="HS50" s="45"/>
      <c r="HT50" s="45"/>
      <c r="HU50" s="45"/>
      <c r="HV50" s="168"/>
      <c r="HW50" s="45"/>
      <c r="HX50" s="45"/>
      <c r="HY50" s="45"/>
      <c r="HZ50" s="45"/>
      <c r="IA50" s="45"/>
      <c r="IB50" s="45"/>
      <c r="IF50" s="45"/>
      <c r="IG50" s="45"/>
      <c r="IH50" s="45"/>
      <c r="II50" s="45"/>
      <c r="IJ50" s="168"/>
      <c r="IK50" s="45"/>
      <c r="IL50" s="45"/>
      <c r="IM50" s="45"/>
      <c r="IN50" s="45"/>
      <c r="IO50" s="45"/>
      <c r="IP50" s="45"/>
      <c r="IT50" s="45"/>
      <c r="IU50" s="45"/>
      <c r="IV50" s="45"/>
      <c r="IW50" s="45"/>
      <c r="IX50" s="168"/>
      <c r="IY50" s="45"/>
      <c r="IZ50" s="45"/>
      <c r="JA50" s="45"/>
      <c r="JB50" s="45"/>
      <c r="JC50" s="45"/>
      <c r="JD50" s="45"/>
      <c r="JH50" s="45"/>
      <c r="JI50" s="45"/>
      <c r="JJ50" s="45"/>
      <c r="JK50" s="45"/>
      <c r="JL50" s="168"/>
      <c r="JM50" s="45"/>
      <c r="JN50" s="45"/>
      <c r="JO50" s="45"/>
      <c r="JP50" s="45"/>
      <c r="JQ50" s="45"/>
      <c r="JR50" s="45"/>
      <c r="JV50" s="45"/>
      <c r="JW50" s="45"/>
      <c r="JX50" s="45"/>
      <c r="JY50" s="45"/>
      <c r="JZ50" s="168"/>
      <c r="KA50" s="45"/>
      <c r="KB50" s="45"/>
      <c r="KC50" s="45"/>
      <c r="KD50" s="45"/>
      <c r="KE50" s="45"/>
      <c r="KF50" s="45"/>
      <c r="KJ50" s="45"/>
      <c r="KK50" s="45"/>
      <c r="KL50" s="45"/>
      <c r="KM50" s="45"/>
      <c r="KN50" s="168"/>
      <c r="KO50" s="45"/>
      <c r="KP50" s="45"/>
      <c r="KQ50" s="45"/>
      <c r="KR50" s="45"/>
      <c r="KS50" s="45"/>
      <c r="KT50" s="45"/>
      <c r="KX50" s="45"/>
      <c r="KY50" s="45"/>
      <c r="KZ50" s="45"/>
      <c r="LA50" s="45"/>
      <c r="LB50" s="45"/>
      <c r="LC50" s="45"/>
      <c r="LD50" s="45"/>
      <c r="LE50" s="45"/>
      <c r="LF50" s="45"/>
      <c r="LG50" s="45"/>
      <c r="LH50" s="45"/>
      <c r="LK50" s="45"/>
      <c r="LL50" s="45"/>
      <c r="LM50" s="45"/>
      <c r="LN50" s="45"/>
      <c r="LO50" s="45"/>
      <c r="LP50" s="168"/>
      <c r="LQ50" s="45"/>
      <c r="LR50" s="45"/>
      <c r="LS50" s="45"/>
      <c r="LT50" s="45"/>
      <c r="LU50" s="45"/>
      <c r="LV50" s="45"/>
      <c r="LX50" s="45"/>
      <c r="LY50" s="45"/>
      <c r="LZ50" s="45"/>
      <c r="MA50" s="45"/>
      <c r="MB50" s="168"/>
      <c r="MC50" s="45"/>
      <c r="MD50" s="45"/>
      <c r="ME50" s="45"/>
      <c r="MF50" s="45"/>
      <c r="MG50" s="45"/>
      <c r="MH50" s="45"/>
      <c r="ML50" s="45"/>
      <c r="MM50" s="45"/>
      <c r="MN50" s="45"/>
      <c r="MO50" s="45"/>
      <c r="MP50" s="168"/>
      <c r="MQ50" s="45"/>
      <c r="MR50" s="45"/>
      <c r="MS50" s="45"/>
      <c r="MT50" s="45"/>
      <c r="MU50" s="45"/>
      <c r="MV50" s="45"/>
      <c r="MZ50" s="45"/>
      <c r="NA50" s="45"/>
      <c r="NB50" s="45"/>
      <c r="NC50" s="45"/>
      <c r="ND50" s="45"/>
      <c r="NE50" s="45"/>
      <c r="NF50" s="45"/>
      <c r="NG50" s="45"/>
      <c r="NH50" s="45"/>
      <c r="NI50" s="45"/>
      <c r="NJ50" s="45"/>
      <c r="NM50" s="45"/>
      <c r="NN50" s="45"/>
      <c r="NO50" s="45"/>
      <c r="NP50" s="45"/>
      <c r="NQ50" s="45"/>
      <c r="NR50" s="168"/>
      <c r="NS50" s="45"/>
      <c r="NT50" s="45"/>
      <c r="NU50" s="45"/>
      <c r="NV50" s="45"/>
      <c r="NW50" s="45"/>
      <c r="NZ50" s="45"/>
      <c r="OA50" s="45"/>
      <c r="OB50" s="45"/>
      <c r="OC50" s="45"/>
      <c r="OD50" s="45"/>
      <c r="OE50" s="45"/>
      <c r="OF50" s="45"/>
      <c r="OG50" s="45"/>
      <c r="OH50" s="45"/>
      <c r="OI50" s="45"/>
      <c r="OJ50" s="45"/>
      <c r="OM50" s="45"/>
      <c r="ON50" s="45"/>
      <c r="OO50" s="45"/>
      <c r="OP50" s="45"/>
      <c r="OQ50" s="45"/>
      <c r="OR50" s="45"/>
      <c r="OS50" s="45"/>
      <c r="OT50" s="45"/>
      <c r="OU50" s="45"/>
      <c r="OV50" s="45"/>
      <c r="OW50" s="45"/>
      <c r="OZ50" s="45"/>
      <c r="PA50" s="45"/>
      <c r="PB50" s="45"/>
      <c r="PC50" s="45"/>
      <c r="PD50" s="45"/>
      <c r="PE50" s="45"/>
      <c r="PF50" s="45"/>
      <c r="PG50" s="45"/>
      <c r="PH50" s="45"/>
      <c r="PI50" s="45"/>
      <c r="PJ50" s="45"/>
      <c r="PM50" s="45"/>
      <c r="PN50" s="45"/>
      <c r="PO50" s="45"/>
      <c r="PP50" s="45"/>
      <c r="PQ50" s="45"/>
      <c r="PR50" s="45"/>
      <c r="PS50" s="45"/>
      <c r="PT50" s="45"/>
      <c r="PU50" s="45"/>
      <c r="PV50" s="45"/>
      <c r="PW50" s="45"/>
      <c r="PZ50" s="45"/>
      <c r="QA50" s="45"/>
      <c r="QB50" s="45"/>
      <c r="QC50" s="45"/>
      <c r="QD50" s="45"/>
      <c r="QE50" s="45"/>
      <c r="QF50" s="45"/>
      <c r="QG50" s="45"/>
      <c r="QH50" s="45"/>
      <c r="QI50" s="45"/>
      <c r="QJ50" s="45"/>
      <c r="QM50" s="45"/>
      <c r="QN50" s="45"/>
      <c r="QO50" s="45"/>
      <c r="QP50" s="45"/>
      <c r="QQ50" s="45"/>
      <c r="QR50" s="45"/>
      <c r="QS50" s="45"/>
      <c r="QT50" s="45"/>
      <c r="QU50" s="45"/>
      <c r="QV50" s="45"/>
      <c r="QW50" s="45"/>
      <c r="QZ50" s="45"/>
      <c r="RA50" s="45"/>
      <c r="RB50" s="45"/>
      <c r="RC50" s="45"/>
      <c r="RD50" s="45"/>
      <c r="RE50" s="45"/>
      <c r="RF50" s="45"/>
      <c r="RG50" s="45"/>
      <c r="RH50" s="45"/>
      <c r="RI50" s="45"/>
      <c r="RJ50" s="45"/>
      <c r="RM50" s="45"/>
      <c r="RN50" s="45"/>
      <c r="RO50" s="45"/>
      <c r="RP50" s="45"/>
      <c r="RQ50" s="45"/>
      <c r="RR50" s="45"/>
      <c r="RS50" s="45"/>
      <c r="RT50" s="45"/>
      <c r="RU50" s="45"/>
      <c r="RV50" s="45"/>
      <c r="RW50" s="45"/>
      <c r="RZ50" s="45"/>
      <c r="SA50" s="45"/>
      <c r="SB50" s="45"/>
      <c r="SC50" s="45"/>
      <c r="SD50" s="45"/>
      <c r="SE50" s="45"/>
      <c r="SF50" s="45"/>
      <c r="SG50" s="45"/>
      <c r="SH50" s="45"/>
      <c r="SI50" s="45"/>
      <c r="SJ50" s="45"/>
      <c r="SM50" s="45"/>
      <c r="SN50" s="45"/>
      <c r="SO50" s="45"/>
      <c r="SP50" s="45"/>
      <c r="SQ50" s="45"/>
      <c r="SR50" s="45"/>
      <c r="SS50" s="45"/>
      <c r="ST50" s="45"/>
      <c r="SU50" s="45"/>
      <c r="SV50" s="45"/>
      <c r="SW50" s="45"/>
      <c r="SZ50" s="45"/>
      <c r="TA50" s="45"/>
      <c r="TB50" s="45"/>
      <c r="TC50" s="45"/>
      <c r="TD50" s="45"/>
      <c r="TE50" s="45"/>
      <c r="TF50" s="45"/>
      <c r="TG50" s="45"/>
      <c r="TH50" s="45"/>
      <c r="TI50" s="45"/>
      <c r="TJ50" s="45"/>
      <c r="TM50" s="45"/>
      <c r="TN50" s="45"/>
      <c r="TO50" s="45"/>
      <c r="TP50" s="45"/>
      <c r="TQ50" s="45"/>
      <c r="TR50" s="45"/>
      <c r="TS50" s="45"/>
      <c r="TT50" s="45"/>
      <c r="TU50" s="45"/>
      <c r="TV50" s="45"/>
      <c r="TW50" s="45"/>
      <c r="TZ50" s="45"/>
      <c r="UA50" s="45"/>
      <c r="UB50" s="45"/>
      <c r="UC50" s="45"/>
      <c r="UD50" s="45"/>
      <c r="UE50" s="45"/>
      <c r="UF50" s="45"/>
      <c r="UG50" s="45"/>
      <c r="UH50" s="45"/>
      <c r="UI50" s="45"/>
      <c r="UJ50" s="45"/>
      <c r="UM50" s="45"/>
      <c r="UN50" s="45"/>
      <c r="UO50" s="45"/>
      <c r="UP50" s="45"/>
      <c r="UQ50" s="45"/>
      <c r="UR50" s="45"/>
      <c r="US50" s="45"/>
      <c r="UT50" s="45"/>
      <c r="UU50" s="45"/>
      <c r="UV50" s="45"/>
      <c r="UW50" s="45"/>
      <c r="UZ50" s="45"/>
      <c r="VA50" s="45"/>
      <c r="VB50" s="45"/>
      <c r="VC50" s="45"/>
      <c r="VD50" s="45"/>
      <c r="VE50" s="45"/>
      <c r="VF50" s="45"/>
      <c r="VG50" s="45"/>
      <c r="VH50" s="45"/>
      <c r="VI50" s="45"/>
      <c r="VJ50" s="45"/>
      <c r="VM50" s="45"/>
      <c r="VN50" s="45"/>
      <c r="VO50" s="45"/>
      <c r="VP50" s="45"/>
      <c r="VQ50" s="45"/>
      <c r="VR50" s="45"/>
      <c r="VS50" s="45"/>
      <c r="VT50" s="45"/>
      <c r="VU50" s="45"/>
      <c r="VV50" s="45"/>
      <c r="VW50" s="45"/>
      <c r="VZ50" s="45"/>
      <c r="WA50" s="45"/>
      <c r="WB50" s="45"/>
      <c r="WC50" s="45"/>
      <c r="WD50" s="45"/>
      <c r="WE50" s="45"/>
      <c r="WF50" s="45"/>
      <c r="WG50" s="45"/>
      <c r="WH50" s="45"/>
      <c r="WI50" s="45"/>
      <c r="WJ50" s="45"/>
      <c r="WM50" s="45"/>
      <c r="WN50" s="45"/>
      <c r="WO50" s="45"/>
      <c r="WP50" s="45"/>
      <c r="WQ50" s="45"/>
      <c r="WR50" s="45"/>
      <c r="WS50" s="45"/>
      <c r="WT50" s="45"/>
      <c r="WU50" s="45"/>
      <c r="WV50" s="45"/>
      <c r="WW50" s="45"/>
      <c r="WZ50" s="45"/>
      <c r="XA50" s="45"/>
      <c r="XB50" s="45">
        <v>-55953.30000000001</v>
      </c>
      <c r="XC50" s="45"/>
      <c r="XD50" s="45"/>
      <c r="XE50" s="45"/>
      <c r="XF50" s="45"/>
      <c r="XG50" s="45"/>
      <c r="XH50" s="45"/>
      <c r="XI50" s="45"/>
      <c r="XJ50" s="45"/>
      <c r="XM50" s="45"/>
      <c r="XN50" s="45"/>
      <c r="XO50" s="45"/>
      <c r="XP50" s="45"/>
      <c r="XQ50" s="45"/>
      <c r="XR50" s="45"/>
      <c r="XS50" s="45"/>
      <c r="XT50" s="45"/>
      <c r="XU50" s="45"/>
      <c r="XV50" s="45"/>
      <c r="XW50" s="45"/>
      <c r="XZ50" s="45"/>
      <c r="YA50" s="45"/>
      <c r="YB50" s="45"/>
      <c r="YC50" s="45"/>
      <c r="YD50" s="45"/>
      <c r="YE50" s="45"/>
      <c r="YF50" s="45"/>
      <c r="YG50" s="45"/>
      <c r="YH50" s="45"/>
      <c r="YI50" s="45"/>
      <c r="YJ50" s="45"/>
    </row>
    <row r="51" spans="1:660" ht="12" customHeight="1" thickBot="1">
      <c r="A51" s="48" t="s">
        <v>268</v>
      </c>
      <c r="B51" s="53"/>
      <c r="C51" s="54"/>
      <c r="D51" s="53"/>
      <c r="E51" s="49"/>
      <c r="F51" s="53"/>
      <c r="G51" s="49"/>
      <c r="H51" s="53"/>
      <c r="I51" s="49"/>
      <c r="J51" s="53"/>
      <c r="K51" s="49"/>
      <c r="L51" s="53"/>
      <c r="O51" s="48" t="s">
        <v>268</v>
      </c>
      <c r="P51" s="53"/>
      <c r="Q51" s="54"/>
      <c r="R51" s="53"/>
      <c r="S51" s="49"/>
      <c r="T51" s="53"/>
      <c r="U51" s="49"/>
      <c r="V51" s="53"/>
      <c r="W51" s="49"/>
      <c r="X51" s="53"/>
      <c r="Y51" s="49"/>
      <c r="Z51" s="53"/>
      <c r="AC51" s="48" t="s">
        <v>268</v>
      </c>
      <c r="AD51" s="53"/>
      <c r="AE51" s="54"/>
      <c r="AF51" s="53"/>
      <c r="AG51" s="49"/>
      <c r="AH51" s="53"/>
      <c r="AI51" s="49"/>
      <c r="AJ51" s="53"/>
      <c r="AK51" s="49"/>
      <c r="AL51" s="53"/>
      <c r="AM51" s="49"/>
      <c r="AN51" s="53"/>
      <c r="AQ51" s="48" t="s">
        <v>268</v>
      </c>
      <c r="AR51" s="53">
        <f>AR48</f>
        <v>50606792.729398139</v>
      </c>
      <c r="AS51" s="54"/>
      <c r="AT51" s="53">
        <f>AT48</f>
        <v>3905351.2109506191</v>
      </c>
      <c r="AU51" s="49"/>
      <c r="AV51" s="53">
        <v>0</v>
      </c>
      <c r="AW51" s="49"/>
      <c r="AX51" s="53">
        <f>AX48</f>
        <v>-3489779.5621749987</v>
      </c>
      <c r="AY51" s="49"/>
      <c r="AZ51" s="53">
        <f>AZ48</f>
        <v>0</v>
      </c>
      <c r="BA51" s="49"/>
      <c r="BB51" s="53">
        <f>SUM(AR51:AZ51)</f>
        <v>51022364.378173761</v>
      </c>
      <c r="BE51" s="48" t="s">
        <v>268</v>
      </c>
      <c r="BF51" s="53">
        <f>BF48</f>
        <v>35308584.978854492</v>
      </c>
      <c r="BG51" s="54"/>
      <c r="BH51" s="53">
        <f>BH48</f>
        <v>4320896.8786696177</v>
      </c>
      <c r="BI51" s="49"/>
      <c r="BJ51" s="53">
        <v>0</v>
      </c>
      <c r="BK51" s="49"/>
      <c r="BL51" s="53">
        <f>BL48</f>
        <v>-4974938.535021645</v>
      </c>
      <c r="BM51" s="49"/>
      <c r="BN51" s="53">
        <f>BN48</f>
        <v>-108446.92118611059</v>
      </c>
      <c r="BO51" s="49"/>
      <c r="BP51" s="53">
        <f>SUM(BF51:BN51)</f>
        <v>34546096.401316352</v>
      </c>
      <c r="BS51" s="48" t="s">
        <v>268</v>
      </c>
      <c r="BT51" s="53">
        <f>BT48</f>
        <v>31708894.430132646</v>
      </c>
      <c r="BU51" s="54"/>
      <c r="BV51" s="53">
        <f>BV48</f>
        <v>3434403.1006664913</v>
      </c>
      <c r="BW51" s="49"/>
      <c r="BX51" s="53">
        <v>0</v>
      </c>
      <c r="BY51" s="49"/>
      <c r="BZ51" s="53">
        <f>BZ48</f>
        <v>-2800627.2897882783</v>
      </c>
      <c r="CA51" s="49"/>
      <c r="CB51" s="53">
        <f>CB48</f>
        <v>37646.916165172282</v>
      </c>
      <c r="CC51" s="49"/>
      <c r="CD51" s="53">
        <f>SUM(BT51:CB51)</f>
        <v>32380317.157176029</v>
      </c>
      <c r="CG51" s="48" t="s">
        <v>268</v>
      </c>
      <c r="CH51" s="53">
        <f>CH48</f>
        <v>23429376.146676108</v>
      </c>
      <c r="CI51" s="54"/>
      <c r="CJ51" s="53">
        <f>CJ48</f>
        <v>4393360.7895764131</v>
      </c>
      <c r="CK51" s="49"/>
      <c r="CL51" s="53">
        <v>0</v>
      </c>
      <c r="CM51" s="49"/>
      <c r="CN51" s="53">
        <f>CN48</f>
        <v>-2341923.9163961681</v>
      </c>
      <c r="CO51" s="49"/>
      <c r="CP51" s="53">
        <f>CP48</f>
        <v>36277.499937605964</v>
      </c>
      <c r="CQ51" s="49"/>
      <c r="CR51" s="53">
        <f>SUM(CH51:CP51)</f>
        <v>25517090.519793957</v>
      </c>
      <c r="CU51" s="48" t="s">
        <v>268</v>
      </c>
      <c r="CV51" s="53">
        <f>CV48</f>
        <v>53130675.221675918</v>
      </c>
      <c r="CW51" s="54"/>
      <c r="CX51" s="53">
        <f>CX48</f>
        <v>4127978.0693028611</v>
      </c>
      <c r="CY51" s="49"/>
      <c r="CZ51" s="53">
        <v>0</v>
      </c>
      <c r="DA51" s="49"/>
      <c r="DB51" s="53">
        <f>DB48</f>
        <v>-4150628.9881689986</v>
      </c>
      <c r="DC51" s="49"/>
      <c r="DD51" s="53">
        <f>DD48</f>
        <v>37155.000000000153</v>
      </c>
      <c r="DE51" s="49"/>
      <c r="DF51" s="53">
        <f>SUM(CV51:DD51)</f>
        <v>53145179.302809782</v>
      </c>
      <c r="DI51" s="48" t="s">
        <v>268</v>
      </c>
      <c r="DJ51" s="53">
        <f>DJ48</f>
        <v>33997737.698241629</v>
      </c>
      <c r="DK51" s="54"/>
      <c r="DL51" s="53">
        <f>DL48</f>
        <v>3364001.265099714</v>
      </c>
      <c r="DM51" s="49"/>
      <c r="DN51" s="53">
        <v>0</v>
      </c>
      <c r="DO51" s="49"/>
      <c r="DP51" s="53">
        <f>DP24-ED24</f>
        <v>-6242494.6525801411</v>
      </c>
      <c r="DQ51" s="49"/>
      <c r="DR51" s="53">
        <f>DR24-EF24</f>
        <v>616771.52286579262</v>
      </c>
      <c r="DS51" s="49"/>
      <c r="DT51" s="53">
        <f>SUM(DJ51:DR51)</f>
        <v>31736015.833626989</v>
      </c>
      <c r="DW51" s="48" t="s">
        <v>268</v>
      </c>
      <c r="DX51" s="53">
        <f>DX48</f>
        <v>24853900.090025894</v>
      </c>
      <c r="DY51" s="54"/>
      <c r="DZ51" s="53">
        <f>DZ48</f>
        <v>3139353.4641286945</v>
      </c>
      <c r="EA51" s="49"/>
      <c r="EB51" s="53">
        <v>0</v>
      </c>
      <c r="EC51" s="49"/>
      <c r="ED51" s="53">
        <f>ED48</f>
        <v>-2652952.7244862816</v>
      </c>
      <c r="EE51" s="49"/>
      <c r="EF51" s="53">
        <f>EF24-ET24</f>
        <v>-441551.92618166655</v>
      </c>
      <c r="EG51" s="49"/>
      <c r="EH51" s="53">
        <f>SUM(DX51:EF51)</f>
        <v>24898748.903486643</v>
      </c>
      <c r="EK51" s="48" t="s">
        <v>268</v>
      </c>
      <c r="EL51" s="53">
        <f>EL24-EZ24</f>
        <v>9748857.9281885177</v>
      </c>
      <c r="EM51" s="54"/>
      <c r="EN51" s="53">
        <f>EN24-FB24</f>
        <v>3272281.2011709213</v>
      </c>
      <c r="EO51" s="49"/>
      <c r="EP51" s="53">
        <f>EP24-FD24</f>
        <v>0</v>
      </c>
      <c r="EQ51" s="49"/>
      <c r="ER51" s="53">
        <f>ER24-FF24</f>
        <v>-2064194.8828055777</v>
      </c>
      <c r="ES51" s="49"/>
      <c r="ET51" s="53">
        <f>ET24-FH24</f>
        <v>-51180.396930687486</v>
      </c>
      <c r="EU51" s="49"/>
      <c r="EV51" s="53">
        <f>SUM(EL51:ET51)</f>
        <v>10905763.849623173</v>
      </c>
      <c r="EY51" s="48" t="s">
        <v>268</v>
      </c>
      <c r="EZ51" s="53">
        <f>EZ24</f>
        <v>30343292.321166694</v>
      </c>
      <c r="FA51" s="54"/>
      <c r="FB51" s="53">
        <f>FB24</f>
        <v>1461892.8799999992</v>
      </c>
      <c r="FC51" s="49"/>
      <c r="FD51" s="53">
        <f>FD24</f>
        <v>0</v>
      </c>
      <c r="FE51" s="49"/>
      <c r="FF51" s="53">
        <f>FF24</f>
        <v>-1993514.9100000008</v>
      </c>
      <c r="FG51" s="49"/>
      <c r="FH51" s="53">
        <f>FH24</f>
        <v>-35779.655085312661</v>
      </c>
      <c r="FI51" s="49"/>
      <c r="FJ51" s="53">
        <f>SUM(EZ51:FH51)</f>
        <v>29775890.636081379</v>
      </c>
      <c r="FM51" s="48" t="s">
        <v>268</v>
      </c>
      <c r="FN51" s="53">
        <f>FN48</f>
        <v>13539483.439655416</v>
      </c>
      <c r="FO51" s="54"/>
      <c r="FP51" s="53">
        <f>FP48</f>
        <v>1164819.9960304881</v>
      </c>
      <c r="FQ51" s="49"/>
      <c r="FR51" s="53">
        <v>0</v>
      </c>
      <c r="FS51" s="49"/>
      <c r="FT51" s="53">
        <f>FT48</f>
        <v>-1934721.7412974229</v>
      </c>
      <c r="FU51" s="49"/>
      <c r="FV51" s="53">
        <f>FV48</f>
        <v>562398.5689842673</v>
      </c>
      <c r="FW51" s="49"/>
      <c r="FX51" s="53">
        <f>SUM(FN51:FV51)</f>
        <v>13331980.263372745</v>
      </c>
      <c r="GA51" s="48" t="s">
        <v>268</v>
      </c>
      <c r="GB51" s="53">
        <f>GB48</f>
        <v>6949217.2270730287</v>
      </c>
      <c r="GC51" s="54"/>
      <c r="GD51" s="53">
        <f>GD48</f>
        <v>1667581.5622499983</v>
      </c>
      <c r="GE51" s="49"/>
      <c r="GF51" s="53"/>
      <c r="GG51" s="49"/>
      <c r="GH51" s="53">
        <f>GH48</f>
        <v>-1800665.6224909965</v>
      </c>
      <c r="GI51" s="49"/>
      <c r="GJ51" s="53">
        <f>GJ48</f>
        <v>277403.07641775685</v>
      </c>
      <c r="GK51" s="49"/>
      <c r="GL51" s="53">
        <f>SUM(GB51:GJ51)</f>
        <v>7093536.243249787</v>
      </c>
      <c r="GO51" s="48" t="s">
        <v>268</v>
      </c>
      <c r="GP51" s="53">
        <f>GP24-HD24</f>
        <v>4853842.2903495003</v>
      </c>
      <c r="GQ51" s="54"/>
      <c r="GR51" s="53">
        <f>GR24-HF24</f>
        <v>2322900.7600000007</v>
      </c>
      <c r="GS51" s="49"/>
      <c r="GT51" s="53">
        <f>GT24-HH24</f>
        <v>0</v>
      </c>
      <c r="GU51" s="49"/>
      <c r="GV51" s="53">
        <f>GV24-HJ24</f>
        <v>-1156496.4309775005</v>
      </c>
      <c r="GW51" s="49"/>
      <c r="GX51" s="53">
        <f>GX24-HL24</f>
        <v>220649.50631749968</v>
      </c>
      <c r="GY51" s="49"/>
      <c r="GZ51" s="53">
        <f>SUM(GP51:GX51)</f>
        <v>6240896.1256895009</v>
      </c>
      <c r="HC51" s="48" t="s">
        <v>268</v>
      </c>
      <c r="HD51" s="53">
        <f>HD24</f>
        <v>4358767.8400000073</v>
      </c>
      <c r="HE51" s="54"/>
      <c r="HF51" s="53">
        <f>HF24</f>
        <v>2118460.67</v>
      </c>
      <c r="HG51" s="49"/>
      <c r="HH51" s="53">
        <f>HH24</f>
        <v>0</v>
      </c>
      <c r="HI51" s="49"/>
      <c r="HJ51" s="53">
        <f>HJ24</f>
        <v>-1154127.4405</v>
      </c>
      <c r="HK51" s="49"/>
      <c r="HL51" s="53">
        <f>HL24</f>
        <v>220447.49065000028</v>
      </c>
      <c r="HM51" s="49"/>
      <c r="HN51" s="53">
        <f>SUM(HD51:HL51)</f>
        <v>5543548.5601500068</v>
      </c>
      <c r="HQ51" s="48" t="s">
        <v>268</v>
      </c>
      <c r="HR51" s="53">
        <f>HR24-IF24</f>
        <v>6427976.3000000082</v>
      </c>
      <c r="HS51" s="54"/>
      <c r="HT51" s="53">
        <f>HT24-IH24</f>
        <v>2170528.5500000026</v>
      </c>
      <c r="HU51" s="49"/>
      <c r="HV51" s="53">
        <f>HV24-IJ24</f>
        <v>0</v>
      </c>
      <c r="HW51" s="49"/>
      <c r="HX51" s="53">
        <f>HX24-IL24</f>
        <v>-1427214.0405000001</v>
      </c>
      <c r="HY51" s="49"/>
      <c r="HZ51" s="53">
        <f>HZ24-IN24</f>
        <v>222697.51774998487</v>
      </c>
      <c r="IA51" s="49"/>
      <c r="IB51" s="53">
        <f>SUM(HR51:HZ51)</f>
        <v>7393988.3272499954</v>
      </c>
      <c r="IE51" s="48" t="s">
        <v>268</v>
      </c>
      <c r="IF51" s="53">
        <f>IF24-IT24</f>
        <v>1171728.5299999937</v>
      </c>
      <c r="IG51" s="54"/>
      <c r="IH51" s="53">
        <f>IH24-IV24</f>
        <v>2164407.8199999989</v>
      </c>
      <c r="II51" s="49"/>
      <c r="IJ51" s="53">
        <f>IJ24-IX24</f>
        <v>0</v>
      </c>
      <c r="IK51" s="49"/>
      <c r="IL51" s="53">
        <f>IL24-IZ24</f>
        <v>-381737.08050000016</v>
      </c>
      <c r="IM51" s="49"/>
      <c r="IN51" s="53">
        <f>IN24-JB24</f>
        <v>225446.42075003008</v>
      </c>
      <c r="IO51" s="49"/>
      <c r="IP51" s="53">
        <f>SUM(IF51:IN51)</f>
        <v>3179845.6902500223</v>
      </c>
      <c r="IS51" s="48" t="s">
        <v>268</v>
      </c>
      <c r="IT51" s="53">
        <f>IT24-JH24</f>
        <v>4713296.9099999992</v>
      </c>
      <c r="IU51" s="54"/>
      <c r="IV51" s="53">
        <f>IV24-JJ24</f>
        <v>1954772.28</v>
      </c>
      <c r="IW51" s="49"/>
      <c r="IX51" s="53">
        <f>IX24-JL24</f>
        <v>0</v>
      </c>
      <c r="IY51" s="49"/>
      <c r="IZ51" s="53">
        <f>IZ24-JN24</f>
        <v>-1253441.350499999</v>
      </c>
      <c r="JA51" s="49"/>
      <c r="JB51" s="53">
        <f>JB24-JP24</f>
        <v>198688.2907500001</v>
      </c>
      <c r="JC51" s="49"/>
      <c r="JD51" s="53">
        <f>SUM(IT51:JB51)</f>
        <v>5613316.1302500004</v>
      </c>
      <c r="JG51" s="48" t="s">
        <v>268</v>
      </c>
      <c r="JH51" s="53">
        <f>JH24</f>
        <v>6323368.0100000026</v>
      </c>
      <c r="JI51" s="54"/>
      <c r="JJ51" s="53">
        <f>JJ24</f>
        <v>1273821.1900000002</v>
      </c>
      <c r="JK51" s="49"/>
      <c r="JL51" s="53">
        <f>JL24</f>
        <v>0</v>
      </c>
      <c r="JM51" s="49"/>
      <c r="JN51" s="53">
        <f>JN24</f>
        <v>-997033.33049999992</v>
      </c>
      <c r="JO51" s="49"/>
      <c r="JP51" s="53">
        <f>JP24</f>
        <v>168781.01074999996</v>
      </c>
      <c r="JQ51" s="49"/>
      <c r="JR51" s="53">
        <f>SUM(JH51:JP51)</f>
        <v>6768936.8802500032</v>
      </c>
      <c r="JU51" s="48" t="s">
        <v>268</v>
      </c>
      <c r="JV51" s="53">
        <f>JV24-KJ24</f>
        <v>5755653.4400000144</v>
      </c>
      <c r="JW51" s="54"/>
      <c r="JX51" s="53">
        <f>JX24-KL24</f>
        <v>1878480.4100000001</v>
      </c>
      <c r="JY51" s="49"/>
      <c r="JZ51" s="53">
        <f>JZ24-KN24</f>
        <v>0</v>
      </c>
      <c r="KA51" s="49"/>
      <c r="KB51" s="53">
        <f>KB24-KP24</f>
        <v>-1599966.1304999981</v>
      </c>
      <c r="KC51" s="49"/>
      <c r="KD51" s="53">
        <f>KD24-KR24</f>
        <v>151977.85485</v>
      </c>
      <c r="KE51" s="49"/>
      <c r="KF51" s="53">
        <f>SUM(JV51:KD51)</f>
        <v>6186145.5743500162</v>
      </c>
      <c r="KI51" s="48" t="s">
        <v>268</v>
      </c>
      <c r="KJ51" s="53">
        <f>KJ24-KX24</f>
        <v>3129186.4199999925</v>
      </c>
      <c r="KK51" s="54"/>
      <c r="KL51" s="53">
        <f>KL24-KZ24</f>
        <v>1710342.6100000031</v>
      </c>
      <c r="KM51" s="49"/>
      <c r="KN51" s="53">
        <f>KN24-LB24</f>
        <v>0</v>
      </c>
      <c r="KO51" s="49"/>
      <c r="KP51" s="53">
        <f>KP24-LD24</f>
        <v>-1078108.3305000011</v>
      </c>
      <c r="KQ51" s="49"/>
      <c r="KR51" s="53">
        <f>KR24-LF24</f>
        <v>142725.13385000051</v>
      </c>
      <c r="KS51" s="49"/>
      <c r="KT51" s="53">
        <f>SUM(KJ51:KR51)</f>
        <v>3904145.8333499948</v>
      </c>
      <c r="KW51" s="48" t="s">
        <v>268</v>
      </c>
      <c r="KX51" s="53">
        <f>KX24-LK24</f>
        <v>4586821.9799999939</v>
      </c>
      <c r="KY51" s="54"/>
      <c r="KZ51" s="53">
        <f>KZ24-LM24</f>
        <v>2071935.1392599815</v>
      </c>
      <c r="LA51" s="49"/>
      <c r="LB51" s="53">
        <f>LB24-LO24</f>
        <v>0</v>
      </c>
      <c r="LC51" s="49"/>
      <c r="LD51" s="53">
        <f>LD24-LQ24</f>
        <v>-1116051.2504999994</v>
      </c>
      <c r="LE51" s="49"/>
      <c r="LF51" s="53">
        <f>LF48</f>
        <v>244440.17749001231</v>
      </c>
      <c r="LG51" s="49"/>
      <c r="LH51" s="53">
        <f>SUM(KX51:LF51)</f>
        <v>5787146.0462499894</v>
      </c>
      <c r="LJ51" s="48" t="s">
        <v>268</v>
      </c>
      <c r="LK51" s="53">
        <f>LK48</f>
        <v>4333290.030000004</v>
      </c>
      <c r="LL51" s="54"/>
      <c r="LM51" s="53">
        <f>LM48</f>
        <v>2709925.6807400188</v>
      </c>
      <c r="LN51" s="49"/>
      <c r="LO51" s="53">
        <f>LO24-MC24</f>
        <v>0</v>
      </c>
      <c r="LP51" s="166"/>
      <c r="LQ51" s="53">
        <f>LQ48</f>
        <v>-1218598.4505</v>
      </c>
      <c r="LR51" s="49"/>
      <c r="LS51" s="53">
        <f>LS48</f>
        <v>-65512.020740012522</v>
      </c>
      <c r="LT51" s="49"/>
      <c r="LU51" s="53">
        <f>SUM(LK51:LS51)</f>
        <v>5759105.2395000095</v>
      </c>
      <c r="LV51" s="49"/>
      <c r="LW51" s="48" t="s">
        <v>268</v>
      </c>
      <c r="LX51" s="53">
        <f>LX24-ML24</f>
        <v>2994868.0599999726</v>
      </c>
      <c r="LY51" s="54"/>
      <c r="LZ51" s="53">
        <f>LZ24-MN24</f>
        <v>2401302.770000007</v>
      </c>
      <c r="MA51" s="49"/>
      <c r="MB51" s="53">
        <f>MB24-MP24</f>
        <v>0</v>
      </c>
      <c r="MC51" s="49"/>
      <c r="MD51" s="53">
        <f>MD24-MR24</f>
        <v>-2689983.1005000016</v>
      </c>
      <c r="ME51" s="49"/>
      <c r="MF51" s="53">
        <f>MF24-MT24</f>
        <v>41113.250000000298</v>
      </c>
      <c r="MG51" s="49"/>
      <c r="MH51" s="53">
        <f>SUM(LX51:MF51)</f>
        <v>2747300.9794999785</v>
      </c>
      <c r="MK51" s="48" t="s">
        <v>268</v>
      </c>
      <c r="ML51" s="53">
        <f>ML24-MZ24</f>
        <v>1771427.2200000249</v>
      </c>
      <c r="MM51" s="54"/>
      <c r="MN51" s="53">
        <f>MN24-NB24</f>
        <v>1830745.8399999929</v>
      </c>
      <c r="MO51" s="49"/>
      <c r="MP51" s="53">
        <f>MP24-ND24</f>
        <v>0</v>
      </c>
      <c r="MQ51" s="49"/>
      <c r="MR51" s="53">
        <f>MR24-NF24</f>
        <v>-1445852.1458929172</v>
      </c>
      <c r="MS51" s="49"/>
      <c r="MT51" s="53">
        <f>MT24-NH24</f>
        <v>48182.36999999977</v>
      </c>
      <c r="MU51" s="49"/>
      <c r="MV51" s="53">
        <f>SUM(ML51:MT51)</f>
        <v>2204503.2841071002</v>
      </c>
      <c r="MY51" s="48" t="s">
        <v>268</v>
      </c>
      <c r="MZ51" s="53">
        <f>MZ24-NM24</f>
        <v>3218209.0800000038</v>
      </c>
      <c r="NA51" s="54"/>
      <c r="NB51" s="53">
        <f>NB24-NO24</f>
        <v>1947613.9300000016</v>
      </c>
      <c r="NC51" s="49"/>
      <c r="ND51" s="53">
        <f>ND24-NQ24</f>
        <v>0</v>
      </c>
      <c r="NE51" s="49"/>
      <c r="NF51" s="53">
        <f>NF24-NS24</f>
        <v>-2075922.3205000004</v>
      </c>
      <c r="NG51" s="49"/>
      <c r="NH51" s="53">
        <f>NH24-NU24</f>
        <v>37025.130000000667</v>
      </c>
      <c r="NI51" s="49"/>
      <c r="NJ51" s="53">
        <f>SUM(MZ51:NH51)</f>
        <v>3126925.8195000058</v>
      </c>
      <c r="NL51" s="48" t="s">
        <v>268</v>
      </c>
      <c r="NM51" s="53">
        <f>NM48</f>
        <v>11722490.919999996</v>
      </c>
      <c r="NN51" s="54"/>
      <c r="NO51" s="53">
        <f>NO48</f>
        <v>1661766.0799999996</v>
      </c>
      <c r="NP51" s="49"/>
      <c r="NQ51" s="53">
        <f>NQ24-OD24</f>
        <v>0</v>
      </c>
      <c r="NR51" s="166"/>
      <c r="NS51" s="53">
        <f>NS48</f>
        <v>-1195082.3951070802</v>
      </c>
      <c r="NT51" s="49"/>
      <c r="NU51" s="53">
        <f>NU48-NU41</f>
        <v>-26340.000000000386</v>
      </c>
      <c r="NV51" s="49"/>
      <c r="NW51" s="53">
        <f>SUM(NM51:NU51)</f>
        <v>12162834.604892917</v>
      </c>
      <c r="NY51" s="48" t="s">
        <v>268</v>
      </c>
      <c r="NZ51" s="53">
        <f>NZ48</f>
        <v>2275109.0599999959</v>
      </c>
      <c r="OA51" s="54"/>
      <c r="OB51" s="53">
        <f>OB48</f>
        <v>3075451.4199999911</v>
      </c>
      <c r="OC51" s="49"/>
      <c r="OD51" s="53">
        <v>0</v>
      </c>
      <c r="OE51" s="166"/>
      <c r="OF51" s="53">
        <f>OF48-OF42</f>
        <v>-2922614.0305000031</v>
      </c>
      <c r="OG51" s="49"/>
      <c r="OH51" s="53">
        <f>OH48-OH41</f>
        <v>-379602.3178299882</v>
      </c>
      <c r="OI51" s="49"/>
      <c r="OJ51" s="53">
        <f>SUM(NZ51:OH51)</f>
        <v>2048344.1316699961</v>
      </c>
      <c r="OM51" s="45"/>
      <c r="ON51" s="45"/>
      <c r="OO51" s="45"/>
      <c r="OP51" s="45"/>
      <c r="OQ51" s="45"/>
      <c r="OR51" s="45"/>
      <c r="OS51" s="45"/>
      <c r="OT51" s="45"/>
      <c r="OU51" s="45"/>
      <c r="OV51" s="45"/>
      <c r="OW51" s="45"/>
      <c r="OZ51" s="45"/>
      <c r="PA51" s="45"/>
      <c r="PB51" s="45"/>
      <c r="PC51" s="45"/>
      <c r="PD51" s="45"/>
      <c r="PE51" s="45"/>
      <c r="PF51" s="45"/>
      <c r="PG51" s="45"/>
      <c r="PH51" s="45"/>
      <c r="PI51" s="45"/>
      <c r="PJ51" s="45"/>
      <c r="PM51" s="45"/>
      <c r="PN51" s="45"/>
      <c r="PO51" s="45"/>
      <c r="PP51" s="45"/>
      <c r="PQ51" s="45"/>
      <c r="PR51" s="45"/>
      <c r="PS51" s="45"/>
      <c r="PT51" s="45"/>
      <c r="PU51" s="45"/>
      <c r="PV51" s="45"/>
      <c r="PW51" s="45"/>
      <c r="PZ51" s="45"/>
      <c r="QA51" s="45"/>
      <c r="QB51" s="45"/>
      <c r="QC51" s="45"/>
      <c r="QD51" s="45"/>
      <c r="QE51" s="45"/>
      <c r="QF51" s="45"/>
      <c r="QG51" s="45"/>
      <c r="QH51" s="45"/>
      <c r="QI51" s="45"/>
      <c r="QJ51" s="45"/>
      <c r="QM51" s="45"/>
      <c r="QN51" s="45"/>
      <c r="QO51" s="45"/>
      <c r="QP51" s="45"/>
      <c r="QQ51" s="45"/>
      <c r="QR51" s="45"/>
      <c r="QS51" s="45"/>
      <c r="QT51" s="45"/>
      <c r="QU51" s="45"/>
      <c r="QV51" s="45"/>
      <c r="QW51" s="45"/>
      <c r="QZ51" s="45"/>
      <c r="RA51" s="45"/>
      <c r="RB51" s="45"/>
      <c r="RC51" s="45"/>
      <c r="RD51" s="45"/>
      <c r="RE51" s="45"/>
      <c r="RF51" s="45"/>
      <c r="RG51" s="45"/>
      <c r="RH51" s="45"/>
      <c r="RI51" s="45"/>
      <c r="RJ51" s="45"/>
      <c r="RM51" s="45"/>
      <c r="RN51" s="45"/>
      <c r="RO51" s="45"/>
      <c r="RP51" s="45"/>
      <c r="RQ51" s="45"/>
      <c r="RR51" s="45"/>
      <c r="RS51" s="45"/>
      <c r="RT51" s="45"/>
      <c r="RU51" s="45"/>
      <c r="RV51" s="45"/>
      <c r="RW51" s="45"/>
      <c r="RZ51" s="45"/>
      <c r="SA51" s="45"/>
      <c r="SB51" s="45"/>
      <c r="SC51" s="45"/>
      <c r="SD51" s="45"/>
      <c r="SE51" s="45"/>
      <c r="SF51" s="45"/>
      <c r="SG51" s="45"/>
      <c r="SH51" s="45"/>
      <c r="SI51" s="45"/>
      <c r="SJ51" s="45"/>
      <c r="SM51" s="45"/>
      <c r="SN51" s="45"/>
      <c r="SO51" s="45"/>
      <c r="SP51" s="45"/>
      <c r="SQ51" s="45"/>
      <c r="SR51" s="45"/>
      <c r="SS51" s="45"/>
      <c r="ST51" s="45"/>
      <c r="SU51" s="45"/>
      <c r="SV51" s="45"/>
      <c r="SW51" s="45"/>
      <c r="SZ51" s="45"/>
      <c r="TA51" s="45"/>
      <c r="TB51" s="45"/>
      <c r="TC51" s="45"/>
      <c r="TD51" s="45"/>
      <c r="TE51" s="45"/>
      <c r="TF51" s="45"/>
      <c r="TG51" s="45"/>
      <c r="TH51" s="45"/>
      <c r="TI51" s="45"/>
      <c r="TJ51" s="45"/>
      <c r="TM51" s="45"/>
      <c r="TN51" s="45"/>
      <c r="TO51" s="45"/>
      <c r="TP51" s="45"/>
      <c r="TQ51" s="45"/>
      <c r="TR51" s="45"/>
      <c r="TS51" s="45"/>
      <c r="TT51" s="45"/>
      <c r="TU51" s="45"/>
      <c r="TV51" s="45"/>
      <c r="TW51" s="45"/>
      <c r="TZ51" s="45"/>
      <c r="UA51" s="45"/>
      <c r="UB51" s="45"/>
      <c r="UC51" s="45"/>
      <c r="UD51" s="45"/>
      <c r="UE51" s="45"/>
      <c r="UF51" s="45"/>
      <c r="UG51" s="45"/>
      <c r="UH51" s="45"/>
      <c r="UI51" s="45"/>
      <c r="UJ51" s="45"/>
      <c r="UM51" s="45"/>
      <c r="UN51" s="45"/>
      <c r="UO51" s="45"/>
      <c r="UP51" s="45"/>
      <c r="UQ51" s="45"/>
      <c r="UR51" s="45"/>
      <c r="US51" s="45"/>
      <c r="UT51" s="45"/>
      <c r="UU51" s="45"/>
      <c r="UV51" s="45"/>
      <c r="UW51" s="45"/>
      <c r="UZ51" s="45"/>
      <c r="VA51" s="45"/>
      <c r="VB51" s="45"/>
      <c r="VC51" s="45"/>
      <c r="VD51" s="45"/>
      <c r="VE51" s="45"/>
      <c r="VF51" s="45"/>
      <c r="VG51" s="45"/>
      <c r="VH51" s="45"/>
      <c r="VI51" s="45"/>
      <c r="VJ51" s="45"/>
      <c r="VM51" s="45"/>
      <c r="VN51" s="45"/>
      <c r="VO51" s="45"/>
      <c r="VP51" s="45"/>
      <c r="VQ51" s="45"/>
      <c r="VR51" s="45"/>
      <c r="VS51" s="45"/>
      <c r="VT51" s="45"/>
      <c r="VU51" s="45"/>
      <c r="VV51" s="45"/>
      <c r="VW51" s="45"/>
      <c r="VZ51" s="45"/>
      <c r="WA51" s="45"/>
      <c r="WB51" s="45"/>
      <c r="WC51" s="45"/>
      <c r="WD51" s="45"/>
      <c r="WE51" s="45"/>
      <c r="WF51" s="45"/>
      <c r="WG51" s="45"/>
      <c r="WH51" s="45"/>
      <c r="WI51" s="45"/>
      <c r="WJ51" s="45"/>
      <c r="WM51" s="45"/>
      <c r="WN51" s="45"/>
      <c r="WO51" s="45"/>
      <c r="WP51" s="45"/>
      <c r="WQ51" s="45"/>
      <c r="WR51" s="45"/>
      <c r="WS51" s="45"/>
      <c r="WT51" s="45"/>
      <c r="WU51" s="45"/>
      <c r="WV51" s="45"/>
      <c r="WW51" s="45"/>
      <c r="WZ51" s="45"/>
      <c r="XA51" s="45"/>
      <c r="XB51" s="45"/>
      <c r="XC51" s="45"/>
      <c r="XD51" s="45"/>
      <c r="XE51" s="45"/>
      <c r="XF51" s="45"/>
      <c r="XG51" s="45"/>
      <c r="XH51" s="45"/>
      <c r="XI51" s="45"/>
      <c r="XJ51" s="45"/>
      <c r="XM51" s="45"/>
      <c r="XN51" s="45"/>
      <c r="XO51" s="45"/>
      <c r="XP51" s="45"/>
      <c r="XQ51" s="45"/>
      <c r="XR51" s="45"/>
      <c r="XS51" s="45"/>
      <c r="XT51" s="45"/>
      <c r="XU51" s="45"/>
      <c r="XV51" s="45"/>
      <c r="XW51" s="45"/>
      <c r="XZ51" s="45"/>
      <c r="YA51" s="45"/>
      <c r="YB51" s="45"/>
      <c r="YC51" s="45"/>
      <c r="YD51" s="45"/>
      <c r="YE51" s="45"/>
      <c r="YF51" s="45"/>
      <c r="YG51" s="45"/>
      <c r="YH51" s="45"/>
      <c r="YI51" s="45"/>
      <c r="YJ51" s="45"/>
    </row>
    <row r="52" spans="1:660">
      <c r="B52" s="45"/>
      <c r="C52" s="45"/>
      <c r="D52" s="45"/>
      <c r="E52" s="45"/>
      <c r="F52" s="168"/>
      <c r="G52" s="45"/>
      <c r="H52" s="45"/>
      <c r="I52" s="45"/>
      <c r="J52" s="45"/>
      <c r="K52" s="45"/>
      <c r="L52" s="45"/>
      <c r="P52" s="45"/>
      <c r="Q52" s="45"/>
      <c r="R52" s="45"/>
      <c r="S52" s="45"/>
      <c r="T52" s="168"/>
      <c r="U52" s="45"/>
      <c r="V52" s="45"/>
      <c r="W52" s="45"/>
      <c r="X52" s="45"/>
      <c r="Y52" s="45"/>
      <c r="Z52" s="45"/>
      <c r="AD52" s="45"/>
      <c r="AE52" s="45"/>
      <c r="AF52" s="45"/>
      <c r="AG52" s="45"/>
      <c r="AH52" s="168"/>
      <c r="AI52" s="45"/>
      <c r="AJ52" s="45"/>
      <c r="AK52" s="45"/>
      <c r="AL52" s="45"/>
      <c r="AM52" s="45"/>
      <c r="AN52" s="45"/>
      <c r="AR52" s="45"/>
      <c r="AS52" s="45"/>
      <c r="AT52" s="45"/>
      <c r="AU52" s="45"/>
      <c r="AV52" s="168"/>
      <c r="AW52" s="45"/>
      <c r="AX52" s="45"/>
      <c r="AY52" s="45"/>
      <c r="AZ52" s="45"/>
      <c r="BA52" s="45"/>
      <c r="BB52" s="45"/>
      <c r="BF52" s="45"/>
      <c r="BG52" s="45"/>
      <c r="BH52" s="45"/>
      <c r="BI52" s="45"/>
      <c r="BJ52" s="168"/>
      <c r="BK52" s="45"/>
      <c r="BL52" s="45"/>
      <c r="BM52" s="45"/>
      <c r="BN52" s="45"/>
      <c r="BO52" s="45"/>
      <c r="BP52" s="45"/>
      <c r="BT52" s="45"/>
      <c r="BU52" s="45"/>
      <c r="BV52" s="45"/>
      <c r="BW52" s="45"/>
      <c r="BX52" s="168"/>
      <c r="BY52" s="45"/>
      <c r="BZ52" s="45"/>
      <c r="CA52" s="45"/>
      <c r="CB52" s="45"/>
      <c r="CC52" s="45"/>
      <c r="CD52" s="45"/>
      <c r="CH52" s="45"/>
      <c r="CI52" s="45"/>
      <c r="CJ52" s="45"/>
      <c r="CK52" s="45"/>
      <c r="CL52" s="168"/>
      <c r="CM52" s="45"/>
      <c r="CN52" s="45"/>
      <c r="CO52" s="45"/>
      <c r="CP52" s="45"/>
      <c r="CQ52" s="45"/>
      <c r="CR52" s="45"/>
      <c r="CV52" s="45"/>
      <c r="CW52" s="45"/>
      <c r="CX52" s="45"/>
      <c r="CY52" s="45"/>
      <c r="CZ52" s="168"/>
      <c r="DA52" s="45"/>
      <c r="DB52" s="45"/>
      <c r="DC52" s="45"/>
      <c r="DD52" s="45"/>
      <c r="DE52" s="45"/>
      <c r="DF52" s="45"/>
      <c r="DJ52" s="45"/>
      <c r="DK52" s="45"/>
      <c r="DL52" s="45"/>
      <c r="DM52" s="45"/>
      <c r="DN52" s="168"/>
      <c r="DO52" s="45"/>
      <c r="DP52" s="45"/>
      <c r="DQ52" s="45"/>
      <c r="DR52" s="45"/>
      <c r="DS52" s="45"/>
      <c r="DT52" s="45"/>
      <c r="DX52" s="45"/>
      <c r="DY52" s="45"/>
      <c r="DZ52" s="45"/>
      <c r="EA52" s="45"/>
      <c r="EB52" s="168"/>
      <c r="EC52" s="45"/>
      <c r="ED52" s="45"/>
      <c r="EE52" s="45"/>
      <c r="EF52" s="45"/>
      <c r="EG52" s="45"/>
      <c r="EH52" s="45"/>
      <c r="EL52" s="45"/>
      <c r="EM52" s="45"/>
      <c r="EN52" s="45"/>
      <c r="EO52" s="45"/>
      <c r="EP52" s="168"/>
      <c r="EQ52" s="45"/>
      <c r="ER52" s="45"/>
      <c r="ES52" s="45"/>
      <c r="ET52" s="45"/>
      <c r="EU52" s="45"/>
      <c r="EV52" s="45"/>
      <c r="EZ52" s="45"/>
      <c r="FA52" s="45"/>
      <c r="FB52" s="45"/>
      <c r="FC52" s="45"/>
      <c r="FD52" s="168"/>
      <c r="FE52" s="45"/>
      <c r="FF52" s="45"/>
      <c r="FG52" s="45"/>
      <c r="FH52" s="45"/>
      <c r="FI52" s="45"/>
      <c r="FJ52" s="45"/>
      <c r="FN52" s="45"/>
      <c r="FO52" s="45"/>
      <c r="FP52" s="45"/>
      <c r="FQ52" s="45"/>
      <c r="FR52" s="168"/>
      <c r="FS52" s="45"/>
      <c r="FT52" s="45"/>
      <c r="FU52" s="45"/>
      <c r="FV52" s="45"/>
      <c r="FW52" s="45"/>
      <c r="FX52" s="45"/>
      <c r="GB52" s="45"/>
      <c r="GC52" s="45"/>
      <c r="GD52" s="45"/>
      <c r="GE52" s="45"/>
      <c r="GF52" s="168"/>
      <c r="GG52" s="45"/>
      <c r="GH52" s="45"/>
      <c r="GI52" s="45"/>
      <c r="GJ52" s="45"/>
      <c r="GK52" s="45"/>
      <c r="GL52" s="45"/>
      <c r="GP52" s="45"/>
      <c r="GQ52" s="45"/>
      <c r="GR52" s="45"/>
      <c r="GS52" s="45"/>
      <c r="GT52" s="168"/>
      <c r="GU52" s="45"/>
      <c r="GV52" s="45"/>
      <c r="GW52" s="45"/>
      <c r="GX52" s="45"/>
      <c r="GY52" s="45"/>
      <c r="GZ52" s="45"/>
      <c r="HD52" s="45"/>
      <c r="HE52" s="45"/>
      <c r="HF52" s="45"/>
      <c r="HG52" s="45"/>
      <c r="HH52" s="168"/>
      <c r="HI52" s="45"/>
      <c r="HJ52" s="45"/>
      <c r="HK52" s="45"/>
      <c r="HL52" s="45"/>
      <c r="HM52" s="45"/>
      <c r="HN52" s="45"/>
      <c r="HR52" s="45"/>
      <c r="HS52" s="45"/>
      <c r="HT52" s="45"/>
      <c r="HU52" s="45"/>
      <c r="HV52" s="168"/>
      <c r="HW52" s="45"/>
      <c r="HX52" s="45"/>
      <c r="HY52" s="45"/>
      <c r="HZ52" s="45"/>
      <c r="IA52" s="45"/>
      <c r="IB52" s="45"/>
      <c r="IF52" s="45"/>
      <c r="IG52" s="45"/>
      <c r="IH52" s="45"/>
      <c r="II52" s="45"/>
      <c r="IJ52" s="168"/>
      <c r="IK52" s="45"/>
      <c r="IL52" s="45"/>
      <c r="IM52" s="45"/>
      <c r="IN52" s="45"/>
      <c r="IO52" s="45"/>
      <c r="IP52" s="45"/>
      <c r="IT52" s="45"/>
      <c r="IU52" s="45"/>
      <c r="IV52" s="45"/>
      <c r="IW52" s="45"/>
      <c r="IX52" s="168"/>
      <c r="IY52" s="45"/>
      <c r="IZ52" s="45"/>
      <c r="JA52" s="45"/>
      <c r="JB52" s="45"/>
      <c r="JC52" s="45"/>
      <c r="JD52" s="45"/>
      <c r="JH52" s="45"/>
      <c r="JI52" s="45"/>
      <c r="JJ52" s="45"/>
      <c r="JK52" s="45"/>
      <c r="JL52" s="168"/>
      <c r="JM52" s="45"/>
      <c r="JN52" s="45"/>
      <c r="JO52" s="45"/>
      <c r="JP52" s="45"/>
      <c r="JQ52" s="45"/>
      <c r="JR52" s="45"/>
      <c r="JV52" s="45"/>
      <c r="JW52" s="45"/>
      <c r="JX52" s="45"/>
      <c r="JY52" s="45"/>
      <c r="JZ52" s="168"/>
      <c r="KA52" s="45"/>
      <c r="KB52" s="45"/>
      <c r="KC52" s="45"/>
      <c r="KD52" s="45"/>
      <c r="KE52" s="45"/>
      <c r="KF52" s="45"/>
      <c r="KJ52" s="45"/>
      <c r="KK52" s="45"/>
      <c r="KL52" s="45"/>
      <c r="KM52" s="45"/>
      <c r="KN52" s="168"/>
      <c r="KO52" s="45"/>
      <c r="KP52" s="45"/>
      <c r="KQ52" s="45"/>
      <c r="KR52" s="45"/>
      <c r="KS52" s="45"/>
      <c r="KT52" s="45"/>
      <c r="KX52" s="45"/>
      <c r="KY52" s="45"/>
      <c r="KZ52" s="45"/>
      <c r="LA52" s="45"/>
      <c r="LB52" s="45"/>
      <c r="LC52" s="45"/>
      <c r="LD52" s="45"/>
      <c r="LE52" s="45"/>
      <c r="LF52" s="45"/>
      <c r="LG52" s="45"/>
      <c r="LH52" s="45"/>
      <c r="LK52" s="45"/>
      <c r="LL52" s="45"/>
      <c r="LM52" s="45"/>
      <c r="LN52" s="45"/>
      <c r="LO52" s="45"/>
      <c r="LP52" s="168"/>
      <c r="LQ52" s="45"/>
      <c r="LR52" s="45"/>
      <c r="LS52" s="45"/>
      <c r="LT52" s="45"/>
      <c r="LU52" s="45"/>
      <c r="LV52" s="45"/>
      <c r="LX52" s="45"/>
      <c r="LY52" s="45"/>
      <c r="LZ52" s="45"/>
      <c r="MA52" s="45"/>
      <c r="MB52" s="168"/>
      <c r="MC52" s="45"/>
      <c r="MD52" s="45"/>
      <c r="ME52" s="45"/>
      <c r="MF52" s="45"/>
      <c r="MG52" s="45"/>
      <c r="MH52" s="45"/>
      <c r="ML52" s="45"/>
      <c r="MM52" s="45"/>
      <c r="MN52" s="45"/>
      <c r="MO52" s="45"/>
      <c r="MP52" s="168"/>
      <c r="MQ52" s="45"/>
      <c r="MR52" s="45"/>
      <c r="MS52" s="45"/>
      <c r="MT52" s="45"/>
      <c r="MU52" s="45"/>
      <c r="MV52" s="45"/>
      <c r="MZ52" s="45"/>
      <c r="NA52" s="45"/>
      <c r="NB52" s="45"/>
      <c r="NC52" s="45"/>
      <c r="ND52" s="45"/>
      <c r="NE52" s="45"/>
      <c r="NF52" s="45"/>
      <c r="NG52" s="45"/>
      <c r="NH52" s="45"/>
      <c r="NI52" s="45"/>
      <c r="NJ52" s="45"/>
      <c r="NM52" s="45"/>
      <c r="NN52" s="45"/>
      <c r="NO52" s="45"/>
      <c r="NP52" s="45"/>
      <c r="NQ52" s="45"/>
      <c r="NR52" s="168"/>
      <c r="NS52" s="45"/>
      <c r="NT52" s="45"/>
      <c r="NU52" s="45"/>
      <c r="NV52" s="45"/>
      <c r="NW52" s="45"/>
      <c r="NZ52" s="45"/>
      <c r="OA52" s="45"/>
      <c r="OB52" s="45"/>
      <c r="OC52" s="45"/>
      <c r="OD52" s="45"/>
      <c r="OE52" s="45"/>
      <c r="OF52" s="45"/>
      <c r="OG52" s="45"/>
      <c r="OH52" s="45"/>
      <c r="OI52" s="45"/>
      <c r="OJ52" s="45"/>
      <c r="OM52" s="45"/>
      <c r="ON52" s="45"/>
      <c r="OO52" s="45"/>
      <c r="OP52" s="45"/>
      <c r="OQ52" s="45"/>
      <c r="OR52" s="45"/>
      <c r="OS52" s="45"/>
      <c r="OT52" s="45"/>
      <c r="OU52" s="45"/>
      <c r="OV52" s="45"/>
      <c r="OW52" s="45"/>
      <c r="OZ52" s="45"/>
      <c r="PA52" s="45"/>
      <c r="PB52" s="45"/>
      <c r="PC52" s="45"/>
      <c r="PD52" s="45"/>
      <c r="PE52" s="45"/>
      <c r="PF52" s="45"/>
      <c r="PG52" s="45"/>
      <c r="PH52" s="45"/>
      <c r="PI52" s="45"/>
      <c r="PJ52" s="45"/>
      <c r="PM52" s="45"/>
      <c r="PN52" s="45"/>
      <c r="PO52" s="45"/>
      <c r="PP52" s="45"/>
      <c r="PQ52" s="45"/>
      <c r="PR52" s="45"/>
      <c r="PS52" s="45"/>
      <c r="PT52" s="45"/>
      <c r="PU52" s="45"/>
      <c r="PV52" s="45"/>
      <c r="PW52" s="45"/>
      <c r="PZ52" s="45"/>
      <c r="QA52" s="45"/>
      <c r="QB52" s="45"/>
      <c r="QC52" s="45"/>
      <c r="QD52" s="45"/>
      <c r="QE52" s="45"/>
      <c r="QF52" s="45"/>
      <c r="QG52" s="45"/>
      <c r="QH52" s="45"/>
      <c r="QI52" s="45"/>
      <c r="QJ52" s="45"/>
      <c r="QM52" s="45"/>
      <c r="QN52" s="45"/>
      <c r="QO52" s="45"/>
      <c r="QP52" s="45"/>
      <c r="QQ52" s="45"/>
      <c r="QR52" s="45"/>
      <c r="QS52" s="45"/>
      <c r="QT52" s="45"/>
      <c r="QU52" s="45"/>
      <c r="QV52" s="45"/>
      <c r="QW52" s="45"/>
      <c r="QZ52" s="45"/>
      <c r="RA52" s="45"/>
      <c r="RB52" s="45"/>
      <c r="RC52" s="45"/>
      <c r="RD52" s="45"/>
      <c r="RE52" s="45"/>
      <c r="RF52" s="45"/>
      <c r="RG52" s="45"/>
      <c r="RH52" s="45"/>
      <c r="RI52" s="45"/>
      <c r="RJ52" s="45"/>
      <c r="RM52" s="45"/>
      <c r="RN52" s="45"/>
      <c r="RO52" s="45"/>
      <c r="RP52" s="45"/>
      <c r="RQ52" s="45"/>
      <c r="RR52" s="45"/>
      <c r="RS52" s="45"/>
      <c r="RT52" s="45"/>
      <c r="RU52" s="45"/>
      <c r="RV52" s="45"/>
      <c r="RW52" s="45"/>
      <c r="RZ52" s="45"/>
      <c r="SA52" s="45"/>
      <c r="SB52" s="45"/>
      <c r="SC52" s="45"/>
      <c r="SD52" s="45"/>
      <c r="SE52" s="45"/>
      <c r="SF52" s="45"/>
      <c r="SG52" s="45"/>
      <c r="SH52" s="45"/>
      <c r="SI52" s="45"/>
      <c r="SJ52" s="45"/>
      <c r="SM52" s="45"/>
      <c r="SN52" s="45"/>
      <c r="SO52" s="45"/>
      <c r="SP52" s="45"/>
      <c r="SQ52" s="45"/>
      <c r="SR52" s="45"/>
      <c r="SS52" s="45"/>
      <c r="ST52" s="45"/>
      <c r="SU52" s="45"/>
      <c r="SV52" s="45"/>
      <c r="SW52" s="45"/>
      <c r="SZ52" s="45"/>
      <c r="TA52" s="45"/>
      <c r="TB52" s="45"/>
      <c r="TC52" s="45"/>
      <c r="TD52" s="45"/>
      <c r="TE52" s="45"/>
      <c r="TF52" s="45"/>
      <c r="TG52" s="45"/>
      <c r="TH52" s="45"/>
      <c r="TI52" s="45"/>
      <c r="TJ52" s="45"/>
      <c r="TM52" s="45"/>
      <c r="TN52" s="45"/>
      <c r="TO52" s="45"/>
      <c r="TP52" s="45"/>
      <c r="TQ52" s="45"/>
      <c r="TR52" s="45"/>
      <c r="TS52" s="45"/>
      <c r="TT52" s="45"/>
      <c r="TU52" s="45"/>
      <c r="TV52" s="45"/>
      <c r="TW52" s="45"/>
      <c r="TZ52" s="45"/>
      <c r="UA52" s="45"/>
      <c r="UB52" s="45"/>
      <c r="UC52" s="45"/>
      <c r="UD52" s="45"/>
      <c r="UE52" s="45"/>
      <c r="UF52" s="45"/>
      <c r="UG52" s="45"/>
      <c r="UH52" s="45"/>
      <c r="UI52" s="45"/>
      <c r="UJ52" s="45"/>
      <c r="UM52" s="45"/>
      <c r="UN52" s="45"/>
      <c r="UO52" s="45"/>
      <c r="UP52" s="45"/>
      <c r="UQ52" s="45"/>
      <c r="UR52" s="45"/>
      <c r="US52" s="45"/>
      <c r="UT52" s="45"/>
      <c r="UU52" s="45"/>
      <c r="UV52" s="45"/>
      <c r="UW52" s="45"/>
      <c r="UZ52" s="45"/>
      <c r="VA52" s="45"/>
      <c r="VB52" s="45"/>
      <c r="VC52" s="45"/>
      <c r="VD52" s="45"/>
      <c r="VE52" s="45"/>
      <c r="VF52" s="45"/>
      <c r="VG52" s="45"/>
      <c r="VH52" s="45"/>
      <c r="VI52" s="45"/>
      <c r="VJ52" s="45"/>
      <c r="VM52" s="45"/>
      <c r="VN52" s="45"/>
      <c r="VO52" s="45"/>
      <c r="VP52" s="45"/>
      <c r="VQ52" s="45"/>
      <c r="VR52" s="45"/>
      <c r="VS52" s="45"/>
      <c r="VT52" s="45"/>
      <c r="VU52" s="45"/>
      <c r="VV52" s="45"/>
      <c r="VW52" s="45"/>
      <c r="VZ52" s="45"/>
      <c r="WA52" s="45"/>
      <c r="WB52" s="45"/>
      <c r="WC52" s="45"/>
      <c r="WD52" s="45"/>
      <c r="WE52" s="45"/>
      <c r="WF52" s="45"/>
      <c r="WG52" s="45"/>
      <c r="WH52" s="45"/>
      <c r="WI52" s="45"/>
      <c r="WJ52" s="45"/>
      <c r="WM52" s="45"/>
      <c r="WN52" s="45"/>
      <c r="WO52" s="45"/>
      <c r="WP52" s="45"/>
      <c r="WQ52" s="45"/>
      <c r="WR52" s="45"/>
      <c r="WS52" s="45"/>
      <c r="WT52" s="45"/>
      <c r="WU52" s="45"/>
      <c r="WV52" s="45"/>
      <c r="WW52" s="45"/>
      <c r="WZ52" s="45"/>
      <c r="XA52" s="45"/>
      <c r="XB52" s="45"/>
      <c r="XC52" s="45"/>
      <c r="XD52" s="45"/>
      <c r="XE52" s="45"/>
      <c r="XF52" s="45"/>
      <c r="XG52" s="45"/>
      <c r="XH52" s="45"/>
      <c r="XI52" s="45"/>
      <c r="XJ52" s="45"/>
      <c r="XM52" s="45"/>
      <c r="XN52" s="45"/>
      <c r="XO52" s="45"/>
      <c r="XP52" s="45"/>
      <c r="XQ52" s="45"/>
      <c r="XR52" s="45"/>
      <c r="XS52" s="45"/>
      <c r="XT52" s="45"/>
      <c r="XU52" s="45"/>
      <c r="XV52" s="45"/>
      <c r="XW52" s="45"/>
      <c r="XZ52" s="45"/>
      <c r="YA52" s="45"/>
      <c r="YB52" s="45"/>
      <c r="YC52" s="45"/>
      <c r="YD52" s="45"/>
      <c r="YE52" s="45"/>
      <c r="YF52" s="45"/>
      <c r="YG52" s="45"/>
      <c r="YH52" s="45"/>
      <c r="YI52" s="45"/>
      <c r="YJ52" s="45"/>
    </row>
    <row r="53" spans="1:660">
      <c r="B53" s="45"/>
      <c r="C53" s="45"/>
      <c r="D53" s="45"/>
      <c r="E53" s="45"/>
      <c r="F53" s="168"/>
      <c r="G53" s="45"/>
      <c r="H53" s="45"/>
      <c r="I53" s="45"/>
      <c r="J53" s="45"/>
      <c r="K53" s="45"/>
      <c r="L53" s="45"/>
      <c r="P53" s="45"/>
      <c r="Q53" s="45"/>
      <c r="R53" s="45"/>
      <c r="S53" s="45"/>
      <c r="T53" s="168"/>
      <c r="U53" s="45"/>
      <c r="V53" s="45"/>
      <c r="W53" s="45"/>
      <c r="X53" s="45"/>
      <c r="Y53" s="45"/>
      <c r="Z53" s="45"/>
      <c r="AD53" s="45"/>
      <c r="AE53" s="45"/>
      <c r="AF53" s="45"/>
      <c r="AG53" s="45"/>
      <c r="AH53" s="168"/>
      <c r="AI53" s="45"/>
      <c r="AJ53" s="45"/>
      <c r="AK53" s="45"/>
      <c r="AL53" s="45"/>
      <c r="AM53" s="45"/>
      <c r="AN53" s="45"/>
      <c r="AR53" s="45"/>
      <c r="AS53" s="45"/>
      <c r="AT53" s="45"/>
      <c r="AU53" s="45"/>
      <c r="AV53" s="168"/>
      <c r="AW53" s="45"/>
      <c r="AX53" s="45"/>
      <c r="AY53" s="45"/>
      <c r="AZ53" s="45"/>
      <c r="BA53" s="45"/>
      <c r="BB53" s="45"/>
      <c r="BF53" s="45"/>
      <c r="BG53" s="45"/>
      <c r="BH53" s="45"/>
      <c r="BI53" s="45"/>
      <c r="BJ53" s="168"/>
      <c r="BK53" s="45"/>
      <c r="BL53" s="45"/>
      <c r="BM53" s="45"/>
      <c r="BN53" s="45"/>
      <c r="BO53" s="45"/>
      <c r="BP53" s="45"/>
      <c r="BT53" s="45"/>
      <c r="BU53" s="45"/>
      <c r="BV53" s="45"/>
      <c r="BW53" s="45"/>
      <c r="BX53" s="168"/>
      <c r="BY53" s="45"/>
      <c r="BZ53" s="45"/>
      <c r="CA53" s="45"/>
      <c r="CB53" s="45"/>
      <c r="CC53" s="45"/>
      <c r="CD53" s="45"/>
      <c r="CH53" s="45"/>
      <c r="CI53" s="45"/>
      <c r="CJ53" s="45"/>
      <c r="CK53" s="45"/>
      <c r="CL53" s="168"/>
      <c r="CM53" s="45"/>
      <c r="CN53" s="45"/>
      <c r="CO53" s="45"/>
      <c r="CP53" s="45"/>
      <c r="CQ53" s="45"/>
      <c r="CR53" s="45"/>
      <c r="CV53" s="45"/>
      <c r="CW53" s="45"/>
      <c r="CX53" s="45"/>
      <c r="CY53" s="45"/>
      <c r="CZ53" s="168"/>
      <c r="DA53" s="45"/>
      <c r="DB53" s="45"/>
      <c r="DC53" s="45"/>
      <c r="DD53" s="45"/>
      <c r="DE53" s="45"/>
      <c r="DF53" s="45"/>
      <c r="DJ53" s="45"/>
      <c r="DK53" s="45"/>
      <c r="DL53" s="45"/>
      <c r="DM53" s="45"/>
      <c r="DN53" s="168"/>
      <c r="DO53" s="45"/>
      <c r="DP53" s="45"/>
      <c r="DQ53" s="45"/>
      <c r="DR53" s="45"/>
      <c r="DS53" s="45"/>
      <c r="DT53" s="45"/>
      <c r="DX53" s="45"/>
      <c r="DY53" s="45"/>
      <c r="DZ53" s="45"/>
      <c r="EA53" s="45"/>
      <c r="EB53" s="168"/>
      <c r="EC53" s="45"/>
      <c r="ED53" s="45"/>
      <c r="EE53" s="45"/>
      <c r="EF53" s="45"/>
      <c r="EG53" s="45"/>
      <c r="EH53" s="45"/>
      <c r="EL53" s="45"/>
      <c r="EM53" s="45"/>
      <c r="EN53" s="45"/>
      <c r="EO53" s="45"/>
      <c r="EP53" s="168"/>
      <c r="EQ53" s="45"/>
      <c r="ER53" s="45"/>
      <c r="ES53" s="45"/>
      <c r="ET53" s="45"/>
      <c r="EU53" s="45"/>
      <c r="EV53" s="45"/>
      <c r="EZ53" s="45"/>
      <c r="FA53" s="45"/>
      <c r="FB53" s="45"/>
      <c r="FC53" s="45"/>
      <c r="FD53" s="168"/>
      <c r="FE53" s="45"/>
      <c r="FF53" s="45"/>
      <c r="FG53" s="45"/>
      <c r="FH53" s="45"/>
      <c r="FI53" s="45"/>
      <c r="FJ53" s="45"/>
      <c r="FN53" s="45"/>
      <c r="FO53" s="45"/>
      <c r="FP53" s="45"/>
      <c r="FQ53" s="45"/>
      <c r="FR53" s="168"/>
      <c r="FS53" s="45"/>
      <c r="FT53" s="45"/>
      <c r="FU53" s="45"/>
      <c r="FV53" s="45"/>
      <c r="FW53" s="45"/>
      <c r="FX53" s="45"/>
      <c r="GB53" s="45"/>
      <c r="GC53" s="45"/>
      <c r="GD53" s="45"/>
      <c r="GE53" s="45"/>
      <c r="GF53" s="168"/>
      <c r="GG53" s="45"/>
      <c r="GH53" s="45"/>
      <c r="GI53" s="45"/>
      <c r="GJ53" s="45"/>
      <c r="GK53" s="45"/>
      <c r="GL53" s="45"/>
      <c r="GP53" s="45"/>
      <c r="GQ53" s="45"/>
      <c r="GR53" s="45"/>
      <c r="GS53" s="45"/>
      <c r="GT53" s="168"/>
      <c r="GU53" s="45"/>
      <c r="GV53" s="45"/>
      <c r="GW53" s="45"/>
      <c r="GX53" s="45"/>
      <c r="GY53" s="45"/>
      <c r="GZ53" s="45"/>
      <c r="HD53" s="45"/>
      <c r="HE53" s="45"/>
      <c r="HF53" s="45"/>
      <c r="HG53" s="45"/>
      <c r="HH53" s="168"/>
      <c r="HI53" s="45"/>
      <c r="HJ53" s="45"/>
      <c r="HK53" s="45"/>
      <c r="HL53" s="45"/>
      <c r="HM53" s="45"/>
      <c r="HN53" s="45"/>
      <c r="HR53" s="45"/>
      <c r="HS53" s="45"/>
      <c r="HT53" s="45"/>
      <c r="HU53" s="45"/>
      <c r="HV53" s="168"/>
      <c r="HW53" s="45"/>
      <c r="HX53" s="45"/>
      <c r="HY53" s="45"/>
      <c r="HZ53" s="45"/>
      <c r="IA53" s="45"/>
      <c r="IB53" s="45"/>
      <c r="IF53" s="45"/>
      <c r="IG53" s="45"/>
      <c r="IH53" s="45"/>
      <c r="II53" s="45"/>
      <c r="IJ53" s="168"/>
      <c r="IK53" s="45"/>
      <c r="IL53" s="45"/>
      <c r="IM53" s="45"/>
      <c r="IN53" s="45"/>
      <c r="IO53" s="45"/>
      <c r="IP53" s="45"/>
      <c r="IT53" s="45"/>
      <c r="IU53" s="45"/>
      <c r="IV53" s="45"/>
      <c r="IW53" s="45"/>
      <c r="IX53" s="168"/>
      <c r="IY53" s="45"/>
      <c r="IZ53" s="45"/>
      <c r="JA53" s="45"/>
      <c r="JB53" s="45"/>
      <c r="JC53" s="45"/>
      <c r="JD53" s="45"/>
      <c r="JH53" s="45"/>
      <c r="JI53" s="45"/>
      <c r="JJ53" s="45"/>
      <c r="JK53" s="45"/>
      <c r="JL53" s="168"/>
      <c r="JM53" s="45"/>
      <c r="JN53" s="45"/>
      <c r="JO53" s="45"/>
      <c r="JP53" s="45"/>
      <c r="JQ53" s="45"/>
      <c r="JR53" s="45"/>
      <c r="JV53" s="45"/>
      <c r="JW53" s="45"/>
      <c r="JX53" s="45"/>
      <c r="JY53" s="45"/>
      <c r="JZ53" s="168"/>
      <c r="KA53" s="45"/>
      <c r="KB53" s="45"/>
      <c r="KC53" s="45"/>
      <c r="KD53" s="45"/>
      <c r="KE53" s="45"/>
      <c r="KF53" s="45"/>
      <c r="KJ53" s="45"/>
      <c r="KK53" s="45"/>
      <c r="KL53" s="45"/>
      <c r="KM53" s="45"/>
      <c r="KN53" s="168"/>
      <c r="KO53" s="45"/>
      <c r="KP53" s="45"/>
      <c r="KQ53" s="45"/>
      <c r="KR53" s="45"/>
      <c r="KS53" s="45"/>
      <c r="KT53" s="45"/>
      <c r="KX53" s="45"/>
      <c r="KY53" s="45"/>
      <c r="KZ53" s="45"/>
      <c r="LA53" s="45"/>
      <c r="LB53" s="45"/>
      <c r="LC53" s="45"/>
      <c r="LD53" s="45"/>
      <c r="LE53" s="45"/>
      <c r="LF53" s="45"/>
      <c r="LG53" s="45"/>
      <c r="LH53" s="45"/>
      <c r="LK53" s="45"/>
      <c r="LL53" s="45"/>
      <c r="LM53" s="45"/>
      <c r="LN53" s="45"/>
      <c r="LO53" s="45"/>
      <c r="LP53" s="45"/>
      <c r="LQ53" s="45"/>
      <c r="LR53" s="45"/>
      <c r="LS53" s="45"/>
      <c r="LT53" s="45"/>
      <c r="LU53" s="45"/>
      <c r="LV53" s="45"/>
      <c r="LX53" s="45"/>
      <c r="LY53" s="45"/>
      <c r="LZ53" s="45"/>
      <c r="MA53" s="45"/>
      <c r="MB53" s="168"/>
      <c r="MC53" s="45"/>
      <c r="MD53" s="45"/>
      <c r="ME53" s="45"/>
      <c r="MF53" s="45"/>
      <c r="MG53" s="45"/>
      <c r="MH53" s="45"/>
      <c r="ML53" s="45"/>
      <c r="MM53" s="45"/>
      <c r="MN53" s="45"/>
      <c r="MO53" s="45"/>
      <c r="MP53" s="168"/>
      <c r="MQ53" s="45"/>
      <c r="MR53" s="45"/>
      <c r="MS53" s="45"/>
      <c r="MT53" s="45"/>
      <c r="MU53" s="45"/>
      <c r="MV53" s="45"/>
      <c r="MZ53" s="45"/>
      <c r="NA53" s="45"/>
      <c r="NB53" s="45"/>
      <c r="NC53" s="45"/>
      <c r="ND53" s="45"/>
      <c r="NE53" s="45"/>
      <c r="NF53" s="45"/>
      <c r="NG53" s="45"/>
      <c r="NH53" s="45"/>
      <c r="NI53" s="45"/>
      <c r="NJ53" s="45"/>
      <c r="NM53" s="45"/>
      <c r="NN53" s="45"/>
      <c r="NO53" s="45"/>
      <c r="NP53" s="45"/>
      <c r="NQ53" s="45"/>
      <c r="NR53" s="45"/>
      <c r="NS53" s="45"/>
      <c r="NT53" s="45"/>
      <c r="NU53" s="45"/>
      <c r="NV53" s="45"/>
      <c r="NW53" s="45"/>
      <c r="NZ53" s="45"/>
      <c r="OA53" s="45"/>
      <c r="OB53" s="45"/>
      <c r="OC53" s="45"/>
      <c r="OD53" s="45"/>
      <c r="OE53" s="45"/>
      <c r="OF53" s="45"/>
      <c r="OG53" s="45"/>
      <c r="OH53" s="45"/>
      <c r="OI53" s="45"/>
      <c r="OJ53" s="45"/>
      <c r="OM53" s="45"/>
      <c r="ON53" s="45"/>
      <c r="OO53" s="45"/>
      <c r="OP53" s="45"/>
      <c r="OQ53" s="45"/>
      <c r="OR53" s="45"/>
      <c r="OS53" s="45"/>
      <c r="OT53" s="45"/>
      <c r="OU53" s="45"/>
      <c r="OV53" s="45"/>
      <c r="OW53" s="45"/>
      <c r="OZ53" s="45"/>
      <c r="PA53" s="45"/>
      <c r="PB53" s="45"/>
      <c r="PC53" s="45"/>
      <c r="PD53" s="45"/>
      <c r="PE53" s="45"/>
      <c r="PF53" s="45"/>
      <c r="PG53" s="45"/>
      <c r="PH53" s="45"/>
      <c r="PI53" s="45"/>
      <c r="PJ53" s="45"/>
      <c r="PM53" s="45"/>
      <c r="PN53" s="45"/>
      <c r="PO53" s="45"/>
      <c r="PP53" s="45"/>
      <c r="PQ53" s="45"/>
      <c r="PR53" s="45"/>
      <c r="PS53" s="45"/>
      <c r="PT53" s="45"/>
      <c r="PU53" s="45"/>
      <c r="PV53" s="45"/>
      <c r="PW53" s="45"/>
      <c r="PZ53" s="45"/>
      <c r="QA53" s="45"/>
      <c r="QB53" s="45"/>
      <c r="QC53" s="45"/>
      <c r="QD53" s="45"/>
      <c r="QE53" s="45"/>
      <c r="QF53" s="45"/>
      <c r="QG53" s="45"/>
      <c r="QH53" s="45"/>
      <c r="QI53" s="45"/>
      <c r="QJ53" s="45"/>
      <c r="QM53" s="45"/>
      <c r="QN53" s="45"/>
      <c r="QO53" s="45"/>
      <c r="QP53" s="45"/>
      <c r="QQ53" s="45"/>
      <c r="QR53" s="45"/>
      <c r="QS53" s="45"/>
      <c r="QT53" s="45"/>
      <c r="QU53" s="45"/>
      <c r="QV53" s="45"/>
      <c r="QW53" s="45"/>
      <c r="QZ53" s="45"/>
      <c r="RA53" s="45"/>
      <c r="RB53" s="45"/>
      <c r="RC53" s="45"/>
      <c r="RD53" s="45"/>
      <c r="RE53" s="45"/>
      <c r="RF53" s="45"/>
      <c r="RG53" s="45"/>
      <c r="RH53" s="45"/>
      <c r="RI53" s="45"/>
      <c r="RJ53" s="45"/>
      <c r="RM53" s="45"/>
      <c r="RN53" s="45"/>
      <c r="RO53" s="45"/>
      <c r="RP53" s="45"/>
      <c r="RQ53" s="45"/>
      <c r="RR53" s="45"/>
      <c r="RS53" s="45"/>
      <c r="RT53" s="45"/>
      <c r="RU53" s="45"/>
      <c r="RV53" s="45"/>
      <c r="RW53" s="45"/>
      <c r="RZ53" s="45"/>
      <c r="SA53" s="45"/>
      <c r="SB53" s="45"/>
      <c r="SC53" s="45"/>
      <c r="SD53" s="45"/>
      <c r="SE53" s="45"/>
      <c r="SF53" s="45"/>
      <c r="SG53" s="45"/>
      <c r="SH53" s="45"/>
      <c r="SI53" s="45"/>
      <c r="SJ53" s="45"/>
      <c r="SM53" s="45"/>
      <c r="SN53" s="45"/>
      <c r="SO53" s="45"/>
      <c r="SP53" s="45"/>
      <c r="SQ53" s="45"/>
      <c r="SR53" s="45"/>
      <c r="SS53" s="45"/>
      <c r="ST53" s="45"/>
      <c r="SU53" s="45"/>
      <c r="SV53" s="45"/>
      <c r="SW53" s="45"/>
      <c r="SZ53" s="45"/>
      <c r="TA53" s="45"/>
      <c r="TB53" s="45"/>
      <c r="TC53" s="45"/>
      <c r="TD53" s="45"/>
      <c r="TE53" s="45"/>
      <c r="TF53" s="45"/>
      <c r="TG53" s="45"/>
      <c r="TH53" s="45"/>
      <c r="TI53" s="45"/>
      <c r="TJ53" s="45"/>
      <c r="TM53" s="45"/>
      <c r="TN53" s="45"/>
      <c r="TO53" s="45"/>
      <c r="TP53" s="45"/>
      <c r="TQ53" s="45"/>
      <c r="TR53" s="45"/>
      <c r="TS53" s="45"/>
      <c r="TT53" s="45"/>
      <c r="TU53" s="45"/>
      <c r="TV53" s="45"/>
      <c r="TW53" s="45"/>
      <c r="TZ53" s="45"/>
      <c r="UA53" s="45"/>
      <c r="UB53" s="45"/>
      <c r="UC53" s="45"/>
      <c r="UD53" s="45"/>
      <c r="UE53" s="45"/>
      <c r="UF53" s="45"/>
      <c r="UG53" s="45"/>
      <c r="UH53" s="45"/>
      <c r="UI53" s="45"/>
      <c r="UJ53" s="45"/>
      <c r="UM53" s="45"/>
      <c r="UN53" s="45"/>
      <c r="UO53" s="45"/>
      <c r="UP53" s="45"/>
      <c r="UQ53" s="45"/>
      <c r="UR53" s="45"/>
      <c r="US53" s="45"/>
      <c r="UT53" s="45"/>
      <c r="UU53" s="45"/>
      <c r="UV53" s="45"/>
      <c r="UW53" s="45"/>
      <c r="UZ53" s="45"/>
      <c r="VA53" s="45"/>
      <c r="VB53" s="45"/>
      <c r="VC53" s="45"/>
      <c r="VD53" s="45"/>
      <c r="VE53" s="45"/>
      <c r="VF53" s="45"/>
      <c r="VG53" s="45"/>
      <c r="VH53" s="45"/>
      <c r="VI53" s="45"/>
      <c r="VJ53" s="45"/>
      <c r="VM53" s="45"/>
      <c r="VN53" s="45"/>
      <c r="VO53" s="45"/>
      <c r="VP53" s="45"/>
      <c r="VQ53" s="45"/>
      <c r="VR53" s="45"/>
      <c r="VS53" s="45"/>
      <c r="VT53" s="45"/>
      <c r="VU53" s="45"/>
      <c r="VV53" s="45"/>
      <c r="VW53" s="45"/>
      <c r="VZ53" s="45"/>
      <c r="WA53" s="45"/>
      <c r="WB53" s="45"/>
      <c r="WC53" s="45"/>
      <c r="WD53" s="45"/>
      <c r="WE53" s="45"/>
      <c r="WF53" s="45"/>
      <c r="WG53" s="45"/>
      <c r="WH53" s="45"/>
      <c r="WI53" s="45"/>
      <c r="WJ53" s="45"/>
      <c r="WM53" s="45"/>
      <c r="WN53" s="45"/>
      <c r="WO53" s="45"/>
      <c r="WP53" s="45"/>
      <c r="WQ53" s="45"/>
      <c r="WR53" s="45"/>
      <c r="WS53" s="45"/>
      <c r="WT53" s="45"/>
      <c r="WU53" s="45"/>
      <c r="WV53" s="45"/>
      <c r="WW53" s="45"/>
      <c r="WZ53" s="45"/>
      <c r="XA53" s="45"/>
      <c r="XB53" s="45"/>
      <c r="XC53" s="45"/>
      <c r="XD53" s="45"/>
      <c r="XE53" s="45"/>
      <c r="XF53" s="45"/>
      <c r="XG53" s="45"/>
      <c r="XH53" s="45"/>
      <c r="XI53" s="45"/>
      <c r="XJ53" s="45"/>
      <c r="XM53" s="45"/>
      <c r="XN53" s="45"/>
      <c r="XO53" s="45"/>
      <c r="XP53" s="45"/>
      <c r="XQ53" s="45"/>
      <c r="XR53" s="45"/>
      <c r="XS53" s="45"/>
      <c r="XT53" s="45"/>
      <c r="XU53" s="45"/>
      <c r="XV53" s="45"/>
      <c r="XW53" s="45"/>
      <c r="XZ53" s="45"/>
      <c r="YA53" s="45"/>
      <c r="YB53" s="45"/>
      <c r="YC53" s="45"/>
      <c r="YD53" s="45"/>
      <c r="YE53" s="45"/>
      <c r="YF53" s="45"/>
      <c r="YG53" s="45"/>
      <c r="YH53" s="45"/>
      <c r="YI53" s="45"/>
      <c r="YJ53" s="45"/>
    </row>
    <row r="54" spans="1:660">
      <c r="B54" s="45"/>
      <c r="C54" s="45"/>
      <c r="D54" s="45"/>
      <c r="E54" s="45"/>
      <c r="F54" s="168"/>
      <c r="G54" s="45"/>
      <c r="H54" s="45"/>
      <c r="I54" s="45"/>
      <c r="J54" s="45"/>
      <c r="K54" s="45"/>
      <c r="L54" s="45"/>
      <c r="P54" s="45"/>
      <c r="Q54" s="45"/>
      <c r="R54" s="45"/>
      <c r="S54" s="45"/>
      <c r="T54" s="168"/>
      <c r="U54" s="45"/>
      <c r="V54" s="45"/>
      <c r="W54" s="45"/>
      <c r="X54" s="45"/>
      <c r="Y54" s="45"/>
      <c r="Z54" s="45"/>
      <c r="AD54" s="45"/>
      <c r="AE54" s="45"/>
      <c r="AF54" s="45"/>
      <c r="AG54" s="45"/>
      <c r="AH54" s="168"/>
      <c r="AI54" s="45"/>
      <c r="AJ54" s="45"/>
      <c r="AK54" s="45"/>
      <c r="AL54" s="45"/>
      <c r="AM54" s="45"/>
      <c r="AN54" s="45"/>
      <c r="AR54" s="45"/>
      <c r="AS54" s="45"/>
      <c r="AT54" s="45"/>
      <c r="AU54" s="45"/>
      <c r="AV54" s="168"/>
      <c r="AW54" s="45"/>
      <c r="AX54" s="45"/>
      <c r="AY54" s="45"/>
      <c r="AZ54" s="45"/>
      <c r="BA54" s="45"/>
      <c r="BB54" s="45"/>
      <c r="BF54" s="45"/>
      <c r="BG54" s="45"/>
      <c r="BH54" s="45"/>
      <c r="BI54" s="45"/>
      <c r="BJ54" s="168"/>
      <c r="BK54" s="45"/>
      <c r="BL54" s="45"/>
      <c r="BM54" s="45"/>
      <c r="BN54" s="45"/>
      <c r="BO54" s="45"/>
      <c r="BP54" s="45"/>
      <c r="BT54" s="45"/>
      <c r="BU54" s="45"/>
      <c r="BV54" s="45"/>
      <c r="BW54" s="45"/>
      <c r="BX54" s="168"/>
      <c r="BY54" s="45"/>
      <c r="BZ54" s="45"/>
      <c r="CA54" s="45"/>
      <c r="CB54" s="45"/>
      <c r="CC54" s="45"/>
      <c r="CD54" s="45"/>
      <c r="CH54" s="45"/>
      <c r="CI54" s="45"/>
      <c r="CJ54" s="45"/>
      <c r="CK54" s="45"/>
      <c r="CL54" s="168"/>
      <c r="CM54" s="45"/>
      <c r="CN54" s="45"/>
      <c r="CO54" s="45"/>
      <c r="CP54" s="45"/>
      <c r="CQ54" s="45"/>
      <c r="CR54" s="45"/>
      <c r="CV54" s="45"/>
      <c r="CW54" s="45"/>
      <c r="CX54" s="45"/>
      <c r="CY54" s="45"/>
      <c r="CZ54" s="168"/>
      <c r="DA54" s="45"/>
      <c r="DB54" s="45"/>
      <c r="DC54" s="45"/>
      <c r="DD54" s="45"/>
      <c r="DE54" s="45"/>
      <c r="DF54" s="45"/>
      <c r="DJ54" s="45"/>
      <c r="DK54" s="45"/>
      <c r="DL54" s="45"/>
      <c r="DM54" s="45"/>
      <c r="DN54" s="168"/>
      <c r="DO54" s="45"/>
      <c r="DP54" s="45"/>
      <c r="DQ54" s="45"/>
      <c r="DR54" s="45"/>
      <c r="DS54" s="45"/>
      <c r="DT54" s="45"/>
      <c r="DX54" s="45"/>
      <c r="DY54" s="45"/>
      <c r="DZ54" s="45"/>
      <c r="EA54" s="45"/>
      <c r="EB54" s="168"/>
      <c r="EC54" s="45"/>
      <c r="ED54" s="45"/>
      <c r="EE54" s="45"/>
      <c r="EF54" s="45"/>
      <c r="EG54" s="45"/>
      <c r="EH54" s="45"/>
      <c r="EL54" s="45"/>
      <c r="EM54" s="45"/>
      <c r="EN54" s="45"/>
      <c r="EO54" s="45"/>
      <c r="EP54" s="168"/>
      <c r="EQ54" s="45"/>
      <c r="ER54" s="45"/>
      <c r="ES54" s="45"/>
      <c r="ET54" s="45"/>
      <c r="EU54" s="45"/>
      <c r="EV54" s="45"/>
      <c r="EZ54" s="45"/>
      <c r="FA54" s="45"/>
      <c r="FB54" s="45"/>
      <c r="FC54" s="45"/>
      <c r="FD54" s="168"/>
      <c r="FE54" s="45"/>
      <c r="FF54" s="45"/>
      <c r="FG54" s="45"/>
      <c r="FH54" s="45"/>
      <c r="FI54" s="45"/>
      <c r="FJ54" s="45"/>
      <c r="FN54" s="45"/>
      <c r="FO54" s="45"/>
      <c r="FP54" s="45"/>
      <c r="FQ54" s="45"/>
      <c r="FR54" s="168"/>
      <c r="FS54" s="45"/>
      <c r="FT54" s="45"/>
      <c r="FU54" s="45"/>
      <c r="FV54" s="45"/>
      <c r="FW54" s="45"/>
      <c r="FX54" s="45"/>
      <c r="GB54" s="45"/>
      <c r="GC54" s="45"/>
      <c r="GD54" s="45"/>
      <c r="GE54" s="45"/>
      <c r="GF54" s="168"/>
      <c r="GG54" s="45"/>
      <c r="GH54" s="45"/>
      <c r="GI54" s="45"/>
      <c r="GJ54" s="45"/>
      <c r="GK54" s="45"/>
      <c r="GL54" s="45"/>
      <c r="GP54" s="45"/>
      <c r="GQ54" s="45"/>
      <c r="GR54" s="45"/>
      <c r="GS54" s="45"/>
      <c r="GT54" s="168"/>
      <c r="GU54" s="45"/>
      <c r="GV54" s="45"/>
      <c r="GW54" s="45"/>
      <c r="GX54" s="45"/>
      <c r="GY54" s="45"/>
      <c r="GZ54" s="45"/>
      <c r="HD54" s="45"/>
      <c r="HE54" s="45"/>
      <c r="HF54" s="45"/>
      <c r="HG54" s="45"/>
      <c r="HH54" s="168"/>
      <c r="HI54" s="45"/>
      <c r="HJ54" s="45"/>
      <c r="HK54" s="45"/>
      <c r="HL54" s="45"/>
      <c r="HM54" s="45"/>
      <c r="HN54" s="45"/>
      <c r="HR54" s="45"/>
      <c r="HS54" s="45"/>
      <c r="HT54" s="45"/>
      <c r="HU54" s="45"/>
      <c r="HV54" s="168"/>
      <c r="HW54" s="45"/>
      <c r="HX54" s="45"/>
      <c r="HY54" s="45"/>
      <c r="HZ54" s="45"/>
      <c r="IA54" s="45"/>
      <c r="IB54" s="45"/>
      <c r="IF54" s="45"/>
      <c r="IG54" s="45"/>
      <c r="IH54" s="45"/>
      <c r="II54" s="45"/>
      <c r="IJ54" s="168"/>
      <c r="IK54" s="45"/>
      <c r="IL54" s="45"/>
      <c r="IM54" s="45"/>
      <c r="IN54" s="45"/>
      <c r="IO54" s="45"/>
      <c r="IP54" s="45"/>
      <c r="IT54" s="45"/>
      <c r="IU54" s="45"/>
      <c r="IV54" s="45"/>
      <c r="IW54" s="45"/>
      <c r="IX54" s="168"/>
      <c r="IY54" s="45"/>
      <c r="IZ54" s="45"/>
      <c r="JA54" s="45"/>
      <c r="JB54" s="45"/>
      <c r="JC54" s="45"/>
      <c r="JD54" s="45"/>
      <c r="JH54" s="45"/>
      <c r="JI54" s="45"/>
      <c r="JJ54" s="45"/>
      <c r="JK54" s="45"/>
      <c r="JL54" s="168"/>
      <c r="JM54" s="45"/>
      <c r="JN54" s="45"/>
      <c r="JO54" s="45"/>
      <c r="JP54" s="45"/>
      <c r="JQ54" s="45"/>
      <c r="JR54" s="45"/>
      <c r="JV54" s="45"/>
      <c r="JW54" s="45"/>
      <c r="JX54" s="45"/>
      <c r="JY54" s="45"/>
      <c r="JZ54" s="168"/>
      <c r="KA54" s="45"/>
      <c r="KB54" s="45"/>
      <c r="KC54" s="45"/>
      <c r="KD54" s="45"/>
      <c r="KE54" s="45"/>
      <c r="KF54" s="45"/>
      <c r="KJ54" s="45"/>
      <c r="KK54" s="45"/>
      <c r="KL54" s="45"/>
      <c r="KM54" s="45"/>
      <c r="KN54" s="168"/>
      <c r="KO54" s="45"/>
      <c r="KP54" s="45"/>
      <c r="KQ54" s="45"/>
      <c r="KR54" s="45"/>
      <c r="KS54" s="45"/>
      <c r="KT54" s="45"/>
      <c r="KX54" s="45"/>
      <c r="KY54" s="45"/>
      <c r="KZ54" s="45"/>
      <c r="LA54" s="45"/>
      <c r="LB54" s="45"/>
      <c r="LC54" s="45"/>
      <c r="LD54" s="45"/>
      <c r="LE54" s="45"/>
      <c r="LF54" s="45"/>
      <c r="LG54" s="45"/>
      <c r="LH54" s="45"/>
      <c r="LK54" s="45"/>
      <c r="LL54" s="45"/>
      <c r="LM54" s="45"/>
      <c r="LN54" s="45"/>
      <c r="LO54" s="45"/>
      <c r="LP54" s="45"/>
      <c r="LQ54" s="45"/>
      <c r="LR54" s="45"/>
      <c r="LS54" s="45"/>
      <c r="LT54" s="45"/>
      <c r="LU54" s="45"/>
      <c r="LV54" s="45"/>
      <c r="LX54" s="45"/>
      <c r="LY54" s="45"/>
      <c r="LZ54" s="45"/>
      <c r="MA54" s="45"/>
      <c r="MB54" s="168"/>
      <c r="MC54" s="45"/>
      <c r="MD54" s="45"/>
      <c r="ME54" s="45"/>
      <c r="MF54" s="45"/>
      <c r="MG54" s="45"/>
      <c r="MH54" s="45"/>
      <c r="ML54" s="45"/>
      <c r="MM54" s="45"/>
      <c r="MN54" s="45"/>
      <c r="MO54" s="45"/>
      <c r="MP54" s="168"/>
      <c r="MQ54" s="45"/>
      <c r="MR54" s="45"/>
      <c r="MS54" s="45"/>
      <c r="MT54" s="45"/>
      <c r="MU54" s="45"/>
      <c r="MV54" s="45"/>
      <c r="MZ54" s="45"/>
      <c r="NA54" s="45"/>
      <c r="NB54" s="45"/>
      <c r="NC54" s="45"/>
      <c r="ND54" s="45"/>
      <c r="NE54" s="45"/>
      <c r="NF54" s="45"/>
      <c r="NG54" s="45"/>
      <c r="NH54" s="45"/>
      <c r="NI54" s="45"/>
      <c r="NJ54" s="45"/>
      <c r="NM54" s="45"/>
      <c r="NN54" s="45"/>
      <c r="NO54" s="45"/>
      <c r="NP54" s="45"/>
      <c r="NQ54" s="45"/>
      <c r="NR54" s="45"/>
      <c r="NS54" s="45"/>
      <c r="NT54" s="45"/>
      <c r="NU54" s="45"/>
      <c r="NV54" s="45"/>
      <c r="NW54" s="45"/>
      <c r="NZ54" s="45"/>
      <c r="OA54" s="45"/>
      <c r="OB54" s="45">
        <f>SUM(OB32:OB33,OO32:OO33,PB32:PB335)</f>
        <v>10512595.659999991</v>
      </c>
      <c r="OC54" s="45"/>
      <c r="OD54" s="45"/>
      <c r="OE54" s="45"/>
      <c r="OF54" s="45"/>
      <c r="OG54" s="45"/>
      <c r="OH54" s="45"/>
      <c r="OI54" s="45"/>
      <c r="OJ54" s="45"/>
      <c r="OM54" s="45"/>
      <c r="ON54" s="45"/>
      <c r="OO54" s="45"/>
      <c r="OP54" s="45"/>
      <c r="OQ54" s="45"/>
      <c r="OR54" s="45"/>
      <c r="OS54" s="45"/>
      <c r="OT54" s="45"/>
      <c r="OU54" s="45"/>
      <c r="OV54" s="45"/>
      <c r="OW54" s="45"/>
      <c r="OZ54" s="45"/>
      <c r="PA54" s="45"/>
      <c r="PB54" s="45"/>
      <c r="PC54" s="45"/>
      <c r="PD54" s="45"/>
      <c r="PE54" s="45"/>
      <c r="PF54" s="45"/>
      <c r="PG54" s="45"/>
      <c r="PH54" s="45"/>
      <c r="PI54" s="45"/>
      <c r="PJ54" s="45"/>
      <c r="PM54" s="45"/>
      <c r="PN54" s="45"/>
      <c r="PO54" s="45"/>
      <c r="PP54" s="45"/>
      <c r="PQ54" s="45"/>
      <c r="PR54" s="45"/>
      <c r="PS54" s="45"/>
      <c r="PT54" s="45"/>
      <c r="PU54" s="45"/>
      <c r="PV54" s="45"/>
      <c r="PW54" s="45"/>
      <c r="PZ54" s="45"/>
      <c r="QA54" s="45"/>
      <c r="QB54" s="45"/>
      <c r="QC54" s="45"/>
      <c r="QD54" s="45"/>
      <c r="QE54" s="45"/>
      <c r="QF54" s="45"/>
      <c r="QG54" s="45"/>
      <c r="QH54" s="45"/>
      <c r="QI54" s="45"/>
      <c r="QJ54" s="45"/>
      <c r="QM54" s="45"/>
      <c r="QN54" s="45"/>
      <c r="QO54" s="45"/>
      <c r="QP54" s="45"/>
      <c r="QQ54" s="45"/>
      <c r="QR54" s="45"/>
      <c r="QS54" s="45"/>
      <c r="QT54" s="45"/>
      <c r="QU54" s="45"/>
      <c r="QV54" s="45"/>
      <c r="QW54" s="45"/>
      <c r="QZ54" s="45"/>
      <c r="RA54" s="45"/>
      <c r="RB54" s="45"/>
      <c r="RC54" s="45"/>
      <c r="RD54" s="45"/>
      <c r="RE54" s="45"/>
      <c r="RF54" s="45"/>
      <c r="RG54" s="45"/>
      <c r="RH54" s="45"/>
      <c r="RI54" s="45"/>
      <c r="RJ54" s="45"/>
      <c r="RM54" s="45"/>
      <c r="RN54" s="45"/>
      <c r="RO54" s="45"/>
      <c r="RP54" s="45"/>
      <c r="RQ54" s="45"/>
      <c r="RR54" s="45"/>
      <c r="RS54" s="45"/>
      <c r="RT54" s="45"/>
      <c r="RU54" s="45"/>
      <c r="RV54" s="45"/>
      <c r="RW54" s="45"/>
      <c r="RZ54" s="45"/>
      <c r="SA54" s="45"/>
      <c r="SB54" s="45"/>
      <c r="SC54" s="45"/>
      <c r="SD54" s="45"/>
      <c r="SE54" s="45"/>
      <c r="SF54" s="45"/>
      <c r="SG54" s="45"/>
      <c r="SH54" s="45"/>
      <c r="SI54" s="45"/>
      <c r="SJ54" s="45"/>
      <c r="SM54" s="45"/>
      <c r="SN54" s="45"/>
      <c r="SO54" s="45"/>
      <c r="SP54" s="45"/>
      <c r="SQ54" s="45"/>
      <c r="SR54" s="45"/>
      <c r="SS54" s="45"/>
      <c r="ST54" s="45"/>
      <c r="SU54" s="45"/>
      <c r="SV54" s="45"/>
      <c r="SW54" s="45"/>
      <c r="SZ54" s="45"/>
      <c r="TA54" s="45"/>
      <c r="TB54" s="45"/>
      <c r="TC54" s="45"/>
      <c r="TD54" s="45"/>
      <c r="TE54" s="45"/>
      <c r="TF54" s="45"/>
      <c r="TG54" s="45"/>
      <c r="TH54" s="45"/>
      <c r="TI54" s="45"/>
      <c r="TJ54" s="45"/>
      <c r="TM54" s="45"/>
      <c r="TN54" s="45"/>
      <c r="TO54" s="45"/>
      <c r="TP54" s="45"/>
      <c r="TQ54" s="45"/>
      <c r="TR54" s="45"/>
      <c r="TS54" s="45"/>
      <c r="TT54" s="45"/>
      <c r="TU54" s="45"/>
      <c r="TV54" s="45"/>
      <c r="TW54" s="45"/>
      <c r="TZ54" s="45"/>
      <c r="UA54" s="45"/>
      <c r="UB54" s="45"/>
      <c r="UC54" s="45"/>
      <c r="UD54" s="45"/>
      <c r="UE54" s="45"/>
      <c r="UF54" s="45"/>
      <c r="UG54" s="45"/>
      <c r="UH54" s="45"/>
      <c r="UI54" s="45"/>
      <c r="UJ54" s="45"/>
      <c r="UM54" s="45"/>
      <c r="UN54" s="45"/>
      <c r="UO54" s="45"/>
      <c r="UP54" s="45"/>
      <c r="UQ54" s="45"/>
      <c r="UR54" s="45"/>
      <c r="US54" s="45"/>
      <c r="UT54" s="45"/>
      <c r="UU54" s="45"/>
      <c r="UV54" s="45"/>
      <c r="UW54" s="45"/>
      <c r="UZ54" s="45"/>
      <c r="VA54" s="45"/>
      <c r="VB54" s="45"/>
      <c r="VC54" s="45"/>
      <c r="VD54" s="45"/>
      <c r="VE54" s="45"/>
      <c r="VF54" s="45"/>
      <c r="VG54" s="45"/>
      <c r="VH54" s="45"/>
      <c r="VI54" s="45"/>
      <c r="VJ54" s="45"/>
      <c r="VM54" s="45"/>
      <c r="VN54" s="45"/>
      <c r="VO54" s="45"/>
      <c r="VP54" s="45"/>
      <c r="VQ54" s="45"/>
      <c r="VR54" s="45"/>
      <c r="VS54" s="45"/>
      <c r="VT54" s="45"/>
      <c r="VU54" s="45"/>
      <c r="VV54" s="45"/>
      <c r="VW54" s="45"/>
      <c r="VZ54" s="45"/>
      <c r="WA54" s="45"/>
      <c r="WB54" s="45"/>
      <c r="WC54" s="45"/>
      <c r="WD54" s="45"/>
      <c r="WE54" s="45"/>
      <c r="WF54" s="45"/>
      <c r="WG54" s="45"/>
      <c r="WH54" s="45"/>
      <c r="WI54" s="45"/>
      <c r="WJ54" s="45"/>
      <c r="WM54" s="45"/>
      <c r="WN54" s="45"/>
      <c r="WO54" s="45"/>
      <c r="WP54" s="45"/>
      <c r="WQ54" s="45"/>
      <c r="WR54" s="45"/>
      <c r="WS54" s="45"/>
      <c r="WT54" s="45"/>
      <c r="WU54" s="45"/>
      <c r="WV54" s="45"/>
      <c r="WW54" s="45"/>
      <c r="WZ54" s="45"/>
      <c r="XA54" s="45"/>
      <c r="XB54" s="45"/>
      <c r="XC54" s="45"/>
      <c r="XD54" s="45"/>
      <c r="XE54" s="45"/>
      <c r="XF54" s="45"/>
      <c r="XG54" s="45"/>
      <c r="XH54" s="45"/>
      <c r="XI54" s="45"/>
      <c r="XJ54" s="45"/>
      <c r="XM54" s="45"/>
      <c r="XN54" s="45"/>
      <c r="XO54" s="45"/>
      <c r="XP54" s="45"/>
      <c r="XQ54" s="45"/>
      <c r="XR54" s="45"/>
      <c r="XS54" s="45"/>
      <c r="XT54" s="45"/>
      <c r="XU54" s="45"/>
      <c r="XV54" s="45"/>
      <c r="XW54" s="45"/>
      <c r="XZ54" s="45"/>
      <c r="YA54" s="45"/>
      <c r="YB54" s="45"/>
      <c r="YC54" s="45"/>
      <c r="YD54" s="45"/>
      <c r="YE54" s="45"/>
      <c r="YF54" s="45"/>
      <c r="YG54" s="45"/>
      <c r="YH54" s="45"/>
      <c r="YI54" s="45"/>
      <c r="YJ54" s="45"/>
    </row>
    <row r="55" spans="1:660">
      <c r="B55" s="45"/>
      <c r="C55" s="45"/>
      <c r="D55" s="45"/>
      <c r="E55" s="45"/>
      <c r="F55" s="168"/>
      <c r="G55" s="45"/>
      <c r="H55" s="45"/>
      <c r="I55" s="45"/>
      <c r="J55" s="45"/>
      <c r="K55" s="45"/>
      <c r="L55" s="45"/>
      <c r="P55" s="45"/>
      <c r="Q55" s="45"/>
      <c r="R55" s="45"/>
      <c r="S55" s="45"/>
      <c r="T55" s="168"/>
      <c r="U55" s="45"/>
      <c r="V55" s="45"/>
      <c r="W55" s="45"/>
      <c r="X55" s="45"/>
      <c r="Y55" s="45"/>
      <c r="Z55" s="45"/>
      <c r="AD55" s="45"/>
      <c r="AE55" s="45"/>
      <c r="AF55" s="45"/>
      <c r="AG55" s="45"/>
      <c r="AH55" s="168"/>
      <c r="AI55" s="45"/>
      <c r="AJ55" s="45"/>
      <c r="AK55" s="45"/>
      <c r="AL55" s="45"/>
      <c r="AM55" s="45"/>
      <c r="AN55" s="45"/>
      <c r="AR55" s="45"/>
      <c r="AS55" s="45"/>
      <c r="AT55" s="45"/>
      <c r="AU55" s="45"/>
      <c r="AV55" s="168"/>
      <c r="AW55" s="45"/>
      <c r="AX55" s="45"/>
      <c r="AY55" s="45"/>
      <c r="AZ55" s="45"/>
      <c r="BA55" s="45"/>
      <c r="BB55" s="45"/>
      <c r="BF55" s="45"/>
      <c r="BG55" s="45"/>
      <c r="BH55" s="45"/>
      <c r="BI55" s="45"/>
      <c r="BJ55" s="168"/>
      <c r="BK55" s="45"/>
      <c r="BL55" s="45"/>
      <c r="BM55" s="45"/>
      <c r="BN55" s="45"/>
      <c r="BO55" s="45"/>
      <c r="BP55" s="45"/>
      <c r="BT55" s="45"/>
      <c r="BU55" s="45"/>
      <c r="BV55" s="45"/>
      <c r="BW55" s="45"/>
      <c r="BX55" s="168"/>
      <c r="BY55" s="45"/>
      <c r="BZ55" s="45"/>
      <c r="CA55" s="45"/>
      <c r="CB55" s="45"/>
      <c r="CC55" s="45"/>
      <c r="CD55" s="45"/>
      <c r="CH55" s="45"/>
      <c r="CI55" s="45"/>
      <c r="CJ55" s="45"/>
      <c r="CK55" s="45"/>
      <c r="CL55" s="168"/>
      <c r="CM55" s="45"/>
      <c r="CN55" s="45"/>
      <c r="CO55" s="45"/>
      <c r="CP55" s="45"/>
      <c r="CQ55" s="45"/>
      <c r="CR55" s="45"/>
      <c r="CV55" s="45"/>
      <c r="CW55" s="45"/>
      <c r="CX55" s="45"/>
      <c r="CY55" s="45"/>
      <c r="CZ55" s="168"/>
      <c r="DA55" s="45"/>
      <c r="DB55" s="45"/>
      <c r="DC55" s="45"/>
      <c r="DD55" s="45"/>
      <c r="DE55" s="45"/>
      <c r="DF55" s="45"/>
      <c r="DJ55" s="45"/>
      <c r="DK55" s="45"/>
      <c r="DL55" s="45"/>
      <c r="DM55" s="45"/>
      <c r="DN55" s="168"/>
      <c r="DO55" s="45"/>
      <c r="DP55" s="45"/>
      <c r="DQ55" s="45"/>
      <c r="DR55" s="45"/>
      <c r="DS55" s="45"/>
      <c r="DT55" s="45"/>
      <c r="DX55" s="45"/>
      <c r="DY55" s="45"/>
      <c r="DZ55" s="45"/>
      <c r="EA55" s="45"/>
      <c r="EB55" s="168"/>
      <c r="EC55" s="45"/>
      <c r="ED55" s="45"/>
      <c r="EE55" s="45"/>
      <c r="EF55" s="45"/>
      <c r="EG55" s="45"/>
      <c r="EH55" s="45"/>
      <c r="EL55" s="45"/>
      <c r="EM55" s="45"/>
      <c r="EN55" s="45"/>
      <c r="EO55" s="45"/>
      <c r="EP55" s="168"/>
      <c r="EQ55" s="45"/>
      <c r="ER55" s="45"/>
      <c r="ES55" s="45"/>
      <c r="ET55" s="45"/>
      <c r="EU55" s="45"/>
      <c r="EV55" s="45"/>
      <c r="EZ55" s="45"/>
      <c r="FA55" s="45"/>
      <c r="FB55" s="45"/>
      <c r="FC55" s="45"/>
      <c r="FD55" s="168"/>
      <c r="FE55" s="45"/>
      <c r="FF55" s="45"/>
      <c r="FG55" s="45"/>
      <c r="FH55" s="45"/>
      <c r="FI55" s="45"/>
      <c r="FJ55" s="45"/>
      <c r="FN55" s="45"/>
      <c r="FO55" s="45"/>
      <c r="FP55" s="45"/>
      <c r="FQ55" s="45"/>
      <c r="FR55" s="168"/>
      <c r="FS55" s="45"/>
      <c r="FT55" s="45"/>
      <c r="FU55" s="45"/>
      <c r="FV55" s="45"/>
      <c r="FW55" s="45"/>
      <c r="FX55" s="45"/>
      <c r="GB55" s="45"/>
      <c r="GC55" s="45"/>
      <c r="GD55" s="45"/>
      <c r="GE55" s="45"/>
      <c r="GF55" s="168"/>
      <c r="GG55" s="45"/>
      <c r="GH55" s="45"/>
      <c r="GI55" s="45"/>
      <c r="GJ55" s="45"/>
      <c r="GK55" s="45"/>
      <c r="GL55" s="45"/>
      <c r="GP55" s="45"/>
      <c r="GQ55" s="45"/>
      <c r="GR55" s="45"/>
      <c r="GS55" s="45"/>
      <c r="GT55" s="168"/>
      <c r="GU55" s="45"/>
      <c r="GV55" s="45"/>
      <c r="GW55" s="45"/>
      <c r="GX55" s="45"/>
      <c r="GY55" s="45"/>
      <c r="GZ55" s="45"/>
      <c r="HD55" s="45"/>
      <c r="HE55" s="45"/>
      <c r="HF55" s="45"/>
      <c r="HG55" s="45"/>
      <c r="HH55" s="168"/>
      <c r="HI55" s="45"/>
      <c r="HJ55" s="45"/>
      <c r="HK55" s="45"/>
      <c r="HL55" s="45"/>
      <c r="HM55" s="45"/>
      <c r="HN55" s="45"/>
      <c r="HR55" s="45"/>
      <c r="HS55" s="45"/>
      <c r="HT55" s="45"/>
      <c r="HU55" s="45"/>
      <c r="HV55" s="168"/>
      <c r="HW55" s="45"/>
      <c r="HX55" s="45"/>
      <c r="HY55" s="45"/>
      <c r="HZ55" s="45"/>
      <c r="IA55" s="45"/>
      <c r="IB55" s="45"/>
      <c r="IF55" s="45"/>
      <c r="IG55" s="45"/>
      <c r="IH55" s="45"/>
      <c r="II55" s="45"/>
      <c r="IJ55" s="168"/>
      <c r="IK55" s="45"/>
      <c r="IL55" s="45"/>
      <c r="IM55" s="45"/>
      <c r="IN55" s="45"/>
      <c r="IO55" s="45"/>
      <c r="IP55" s="45"/>
      <c r="IT55" s="45"/>
      <c r="IU55" s="45"/>
      <c r="IV55" s="45"/>
      <c r="IW55" s="45"/>
      <c r="IX55" s="168"/>
      <c r="IY55" s="45"/>
      <c r="IZ55" s="45"/>
      <c r="JA55" s="45"/>
      <c r="JB55" s="45"/>
      <c r="JC55" s="45"/>
      <c r="JD55" s="45"/>
      <c r="JH55" s="45"/>
      <c r="JI55" s="45"/>
      <c r="JJ55" s="45"/>
      <c r="JK55" s="45"/>
      <c r="JL55" s="168"/>
      <c r="JM55" s="45"/>
      <c r="JN55" s="45"/>
      <c r="JO55" s="45"/>
      <c r="JP55" s="45"/>
      <c r="JQ55" s="45"/>
      <c r="JR55" s="45"/>
      <c r="JV55" s="45"/>
      <c r="JW55" s="45"/>
      <c r="JX55" s="45"/>
      <c r="JY55" s="45"/>
      <c r="JZ55" s="168"/>
      <c r="KA55" s="45"/>
      <c r="KB55" s="45"/>
      <c r="KC55" s="45"/>
      <c r="KD55" s="45"/>
      <c r="KE55" s="45"/>
      <c r="KF55" s="45"/>
      <c r="KJ55" s="45"/>
      <c r="KK55" s="45"/>
      <c r="KL55" s="45"/>
      <c r="KM55" s="45"/>
      <c r="KN55" s="168"/>
      <c r="KO55" s="45"/>
      <c r="KP55" s="45"/>
      <c r="KQ55" s="45"/>
      <c r="KR55" s="45"/>
      <c r="KS55" s="45"/>
      <c r="KT55" s="45"/>
      <c r="KX55" s="45"/>
      <c r="KY55" s="45"/>
      <c r="KZ55" s="45"/>
      <c r="LA55" s="45"/>
      <c r="LB55" s="45"/>
      <c r="LC55" s="45"/>
      <c r="LD55" s="45"/>
      <c r="LE55" s="45"/>
      <c r="LF55" s="45"/>
      <c r="LG55" s="45"/>
      <c r="LH55" s="45"/>
      <c r="LK55" s="45"/>
      <c r="LL55" s="45"/>
      <c r="LM55" s="45"/>
      <c r="LN55" s="45"/>
      <c r="LO55" s="45"/>
      <c r="LP55" s="45"/>
      <c r="LQ55" s="45"/>
      <c r="LR55" s="45"/>
      <c r="LS55" s="45"/>
      <c r="LT55" s="45"/>
      <c r="LU55" s="45"/>
      <c r="LV55" s="45"/>
      <c r="LX55" s="45"/>
      <c r="LY55" s="45"/>
      <c r="LZ55" s="45"/>
      <c r="MA55" s="45"/>
      <c r="MB55" s="168"/>
      <c r="MC55" s="45"/>
      <c r="MD55" s="45"/>
      <c r="ME55" s="45"/>
      <c r="MF55" s="45"/>
      <c r="MG55" s="45"/>
      <c r="MH55" s="45"/>
      <c r="ML55" s="45"/>
      <c r="MM55" s="45"/>
      <c r="MN55" s="45"/>
      <c r="MO55" s="45"/>
      <c r="MP55" s="177"/>
      <c r="MQ55" s="45"/>
      <c r="MR55" s="45"/>
      <c r="MS55" s="45"/>
      <c r="MT55" s="45"/>
      <c r="MU55" s="45"/>
      <c r="MV55" s="45"/>
      <c r="MZ55" s="45"/>
      <c r="NA55" s="45"/>
      <c r="NB55" s="45"/>
      <c r="NC55" s="45"/>
      <c r="ND55" s="45"/>
      <c r="NE55" s="45"/>
      <c r="NF55" s="45"/>
      <c r="NG55" s="45"/>
      <c r="NH55" s="45"/>
      <c r="NI55" s="45"/>
      <c r="NJ55" s="45"/>
      <c r="NM55" s="45"/>
      <c r="NN55" s="45"/>
      <c r="NO55" s="45"/>
      <c r="NP55" s="45"/>
      <c r="NQ55" s="45"/>
      <c r="NR55" s="45"/>
      <c r="NS55" s="45"/>
      <c r="NT55" s="45"/>
      <c r="NU55" s="45"/>
      <c r="NV55" s="45"/>
      <c r="NW55" s="45"/>
      <c r="NZ55" s="45"/>
      <c r="OA55" s="45"/>
      <c r="OB55" s="45"/>
      <c r="OC55" s="45"/>
      <c r="OD55" s="45"/>
      <c r="OE55" s="45"/>
      <c r="OF55" s="45"/>
      <c r="OG55" s="45"/>
      <c r="OH55" s="45"/>
      <c r="OI55" s="45"/>
      <c r="OJ55" s="45"/>
      <c r="OM55" s="45"/>
      <c r="ON55" s="45"/>
      <c r="OO55" s="45"/>
      <c r="OP55" s="45"/>
      <c r="OQ55" s="45"/>
      <c r="OR55" s="45"/>
      <c r="OS55" s="45"/>
      <c r="OT55" s="45"/>
      <c r="OU55" s="45"/>
      <c r="OV55" s="45"/>
      <c r="OW55" s="45"/>
      <c r="OZ55" s="45"/>
      <c r="PA55" s="45"/>
      <c r="PB55" s="45"/>
      <c r="PC55" s="45"/>
      <c r="PD55" s="45"/>
      <c r="PE55" s="45"/>
      <c r="PF55" s="45"/>
      <c r="PG55" s="45"/>
      <c r="PH55" s="45"/>
      <c r="PI55" s="45"/>
      <c r="PJ55" s="45"/>
      <c r="PM55" s="45"/>
      <c r="PN55" s="45"/>
      <c r="PO55" s="45"/>
      <c r="PP55" s="45"/>
      <c r="PQ55" s="45"/>
      <c r="PR55" s="45"/>
      <c r="PS55" s="45"/>
      <c r="PT55" s="45"/>
      <c r="PU55" s="45"/>
      <c r="PV55" s="45"/>
      <c r="PW55" s="45"/>
      <c r="PZ55" s="45"/>
      <c r="QA55" s="45"/>
      <c r="QB55" s="45"/>
      <c r="QC55" s="45"/>
      <c r="QD55" s="45"/>
      <c r="QE55" s="45"/>
      <c r="QF55" s="45"/>
      <c r="QG55" s="45"/>
      <c r="QH55" s="45"/>
      <c r="QI55" s="45"/>
      <c r="QJ55" s="45"/>
      <c r="QM55" s="45"/>
      <c r="QN55" s="45"/>
      <c r="QO55" s="45"/>
      <c r="QP55" s="45"/>
      <c r="QQ55" s="45"/>
      <c r="QR55" s="45"/>
      <c r="QS55" s="45"/>
      <c r="QT55" s="45"/>
      <c r="QU55" s="45"/>
      <c r="QV55" s="45"/>
      <c r="QW55" s="45"/>
      <c r="QZ55" s="45"/>
      <c r="RA55" s="45"/>
      <c r="RB55" s="45"/>
      <c r="RC55" s="45"/>
      <c r="RD55" s="45"/>
      <c r="RE55" s="45"/>
      <c r="RF55" s="45"/>
      <c r="RG55" s="45"/>
      <c r="RH55" s="45"/>
      <c r="RI55" s="45"/>
      <c r="RJ55" s="45"/>
      <c r="RM55" s="45"/>
      <c r="RN55" s="45"/>
      <c r="RO55" s="45"/>
      <c r="RP55" s="45"/>
      <c r="RQ55" s="45"/>
      <c r="RR55" s="45"/>
      <c r="RS55" s="45"/>
      <c r="RT55" s="45"/>
      <c r="RU55" s="45"/>
      <c r="RV55" s="45"/>
      <c r="RW55" s="45"/>
      <c r="RZ55" s="45"/>
      <c r="SA55" s="45"/>
      <c r="SB55" s="45"/>
      <c r="SC55" s="45"/>
      <c r="SD55" s="45"/>
      <c r="SE55" s="45"/>
      <c r="SF55" s="45"/>
      <c r="SG55" s="45"/>
      <c r="SH55" s="45"/>
      <c r="SI55" s="45"/>
      <c r="SJ55" s="45"/>
      <c r="SM55" s="45"/>
      <c r="SN55" s="45"/>
      <c r="SO55" s="45"/>
      <c r="SP55" s="45"/>
      <c r="SQ55" s="45"/>
      <c r="SR55" s="45"/>
      <c r="SS55" s="45"/>
      <c r="ST55" s="45"/>
      <c r="SU55" s="45"/>
      <c r="SV55" s="45"/>
      <c r="SW55" s="45"/>
      <c r="SZ55" s="45"/>
      <c r="TA55" s="45"/>
      <c r="TB55" s="45"/>
      <c r="TC55" s="45"/>
      <c r="TD55" s="45"/>
      <c r="TE55" s="45"/>
      <c r="TF55" s="45"/>
      <c r="TG55" s="45"/>
      <c r="TH55" s="45"/>
      <c r="TI55" s="45"/>
      <c r="TJ55" s="45"/>
      <c r="TM55" s="45"/>
      <c r="TN55" s="45"/>
      <c r="TO55" s="45"/>
      <c r="TP55" s="45"/>
      <c r="TQ55" s="45"/>
      <c r="TR55" s="45"/>
      <c r="TS55" s="45"/>
      <c r="TT55" s="45"/>
      <c r="TU55" s="45"/>
      <c r="TV55" s="45"/>
      <c r="TW55" s="45"/>
      <c r="TZ55" s="45"/>
      <c r="UA55" s="45"/>
      <c r="UB55" s="45"/>
      <c r="UC55" s="45"/>
      <c r="UD55" s="45"/>
      <c r="UE55" s="45"/>
      <c r="UF55" s="45"/>
      <c r="UG55" s="45"/>
      <c r="UH55" s="45"/>
      <c r="UI55" s="45"/>
      <c r="UJ55" s="45"/>
      <c r="UM55" s="45"/>
      <c r="UN55" s="45"/>
      <c r="UO55" s="45"/>
      <c r="UP55" s="45"/>
      <c r="UQ55" s="45"/>
      <c r="UR55" s="45"/>
      <c r="US55" s="45"/>
      <c r="UT55" s="45"/>
      <c r="UU55" s="45"/>
      <c r="UV55" s="45"/>
      <c r="UW55" s="45"/>
      <c r="UZ55" s="45"/>
      <c r="VA55" s="45"/>
      <c r="VB55" s="45"/>
      <c r="VC55" s="45"/>
      <c r="VD55" s="45"/>
      <c r="VE55" s="45"/>
      <c r="VF55" s="45"/>
      <c r="VG55" s="45"/>
      <c r="VH55" s="45"/>
      <c r="VI55" s="45"/>
      <c r="VJ55" s="45"/>
      <c r="VM55" s="45"/>
      <c r="VN55" s="45"/>
      <c r="VO55" s="45"/>
      <c r="VP55" s="45"/>
      <c r="VQ55" s="45"/>
      <c r="VR55" s="45"/>
      <c r="VS55" s="45"/>
      <c r="VT55" s="45"/>
      <c r="VU55" s="45"/>
      <c r="VV55" s="45"/>
      <c r="VW55" s="45"/>
      <c r="VZ55" s="45"/>
      <c r="WA55" s="45"/>
      <c r="WB55" s="45"/>
      <c r="WC55" s="45"/>
      <c r="WD55" s="45"/>
      <c r="WE55" s="45"/>
      <c r="WF55" s="45"/>
      <c r="WG55" s="45"/>
      <c r="WH55" s="45"/>
      <c r="WI55" s="45"/>
      <c r="WJ55" s="45"/>
      <c r="WM55" s="45"/>
      <c r="WN55" s="45"/>
      <c r="WO55" s="45"/>
      <c r="WP55" s="45"/>
      <c r="WQ55" s="45"/>
      <c r="WR55" s="45"/>
      <c r="WS55" s="45"/>
      <c r="WT55" s="45"/>
      <c r="WU55" s="45"/>
      <c r="WV55" s="45"/>
      <c r="WW55" s="45"/>
      <c r="WZ55" s="45"/>
      <c r="XA55" s="45"/>
      <c r="XB55" s="45"/>
      <c r="XC55" s="45"/>
      <c r="XD55" s="45"/>
      <c r="XE55" s="45"/>
      <c r="XF55" s="45"/>
      <c r="XG55" s="45"/>
      <c r="XH55" s="45"/>
      <c r="XI55" s="45"/>
      <c r="XJ55" s="45"/>
      <c r="XM55" s="45"/>
      <c r="XN55" s="45"/>
      <c r="XO55" s="45"/>
      <c r="XP55" s="45"/>
      <c r="XQ55" s="45"/>
      <c r="XR55" s="45"/>
      <c r="XS55" s="45"/>
      <c r="XT55" s="45"/>
      <c r="XU55" s="45"/>
      <c r="XV55" s="45"/>
      <c r="XW55" s="45"/>
      <c r="XZ55" s="45"/>
      <c r="YA55" s="45"/>
      <c r="YB55" s="45"/>
      <c r="YC55" s="45"/>
      <c r="YD55" s="45"/>
      <c r="YE55" s="45"/>
      <c r="YF55" s="45"/>
      <c r="YG55" s="45"/>
      <c r="YH55" s="45"/>
      <c r="YI55" s="45"/>
      <c r="YJ55" s="45"/>
    </row>
    <row r="56" spans="1:660">
      <c r="B56" s="45"/>
      <c r="C56" s="45"/>
      <c r="D56" s="45"/>
      <c r="E56" s="45"/>
      <c r="F56" s="168"/>
      <c r="G56" s="45"/>
      <c r="H56" s="45"/>
      <c r="I56" s="45"/>
      <c r="J56" s="45"/>
      <c r="K56" s="45"/>
      <c r="L56" s="45"/>
      <c r="P56" s="45"/>
      <c r="Q56" s="45"/>
      <c r="R56" s="45"/>
      <c r="S56" s="45"/>
      <c r="T56" s="168"/>
      <c r="U56" s="45"/>
      <c r="V56" s="45"/>
      <c r="W56" s="45"/>
      <c r="X56" s="45"/>
      <c r="Y56" s="45"/>
      <c r="Z56" s="45"/>
      <c r="AD56" s="45"/>
      <c r="AE56" s="45"/>
      <c r="AF56" s="45"/>
      <c r="AG56" s="45"/>
      <c r="AH56" s="168"/>
      <c r="AI56" s="45"/>
      <c r="AJ56" s="45"/>
      <c r="AK56" s="45"/>
      <c r="AL56" s="45"/>
      <c r="AM56" s="45"/>
      <c r="AN56" s="45"/>
      <c r="AR56" s="45"/>
      <c r="AS56" s="45"/>
      <c r="AT56" s="45"/>
      <c r="AU56" s="45"/>
      <c r="AV56" s="168"/>
      <c r="AW56" s="45"/>
      <c r="AX56" s="45"/>
      <c r="AY56" s="45"/>
      <c r="AZ56" s="45"/>
      <c r="BA56" s="45"/>
      <c r="BB56" s="45"/>
      <c r="BF56" s="45"/>
      <c r="BG56" s="45"/>
      <c r="BH56" s="45"/>
      <c r="BI56" s="45"/>
      <c r="BJ56" s="168"/>
      <c r="BK56" s="45"/>
      <c r="BL56" s="45"/>
      <c r="BM56" s="45"/>
      <c r="BN56" s="45"/>
      <c r="BO56" s="45"/>
      <c r="BP56" s="45"/>
      <c r="BT56" s="45"/>
      <c r="BU56" s="45"/>
      <c r="BV56" s="45"/>
      <c r="BW56" s="45"/>
      <c r="BX56" s="168"/>
      <c r="BY56" s="45"/>
      <c r="BZ56" s="45"/>
      <c r="CA56" s="45"/>
      <c r="CB56" s="45"/>
      <c r="CC56" s="45"/>
      <c r="CD56" s="45"/>
      <c r="CH56" s="45"/>
      <c r="CI56" s="45"/>
      <c r="CJ56" s="45"/>
      <c r="CK56" s="45"/>
      <c r="CL56" s="168"/>
      <c r="CM56" s="45"/>
      <c r="CN56" s="45"/>
      <c r="CO56" s="45"/>
      <c r="CP56" s="45"/>
      <c r="CQ56" s="45"/>
      <c r="CR56" s="45"/>
      <c r="CV56" s="45"/>
      <c r="CW56" s="45"/>
      <c r="CX56" s="45"/>
      <c r="CY56" s="45"/>
      <c r="CZ56" s="168"/>
      <c r="DA56" s="45"/>
      <c r="DB56" s="45"/>
      <c r="DC56" s="45"/>
      <c r="DD56" s="45"/>
      <c r="DE56" s="45"/>
      <c r="DF56" s="45"/>
      <c r="DJ56" s="45"/>
      <c r="DK56" s="45"/>
      <c r="DL56" s="45"/>
      <c r="DM56" s="45"/>
      <c r="DN56" s="168"/>
      <c r="DO56" s="45"/>
      <c r="DP56" s="45"/>
      <c r="DQ56" s="45"/>
      <c r="DR56" s="45"/>
      <c r="DS56" s="45"/>
      <c r="DT56" s="45"/>
      <c r="DX56" s="45"/>
      <c r="DY56" s="45"/>
      <c r="DZ56" s="45"/>
      <c r="EA56" s="45"/>
      <c r="EB56" s="168"/>
      <c r="EC56" s="45"/>
      <c r="ED56" s="45"/>
      <c r="EE56" s="45"/>
      <c r="EF56" s="45"/>
      <c r="EG56" s="45"/>
      <c r="EH56" s="45"/>
      <c r="EL56" s="45"/>
      <c r="EM56" s="45"/>
      <c r="EN56" s="45"/>
      <c r="EO56" s="45"/>
      <c r="EP56" s="168"/>
      <c r="EQ56" s="45"/>
      <c r="ER56" s="45"/>
      <c r="ES56" s="45"/>
      <c r="ET56" s="45"/>
      <c r="EU56" s="45"/>
      <c r="EV56" s="45"/>
      <c r="EZ56" s="45"/>
      <c r="FA56" s="45"/>
      <c r="FB56" s="45"/>
      <c r="FC56" s="45"/>
      <c r="FD56" s="168"/>
      <c r="FE56" s="45"/>
      <c r="FF56" s="45"/>
      <c r="FG56" s="45"/>
      <c r="FH56" s="45"/>
      <c r="FI56" s="45"/>
      <c r="FJ56" s="45"/>
      <c r="FN56" s="45"/>
      <c r="FO56" s="45"/>
      <c r="FP56" s="45"/>
      <c r="FQ56" s="45"/>
      <c r="FR56" s="168"/>
      <c r="FS56" s="45"/>
      <c r="FT56" s="45"/>
      <c r="FU56" s="45"/>
      <c r="FV56" s="45"/>
      <c r="FW56" s="45"/>
      <c r="FX56" s="45"/>
      <c r="GB56" s="45"/>
      <c r="GC56" s="45"/>
      <c r="GD56" s="45"/>
      <c r="GE56" s="45"/>
      <c r="GF56" s="168"/>
      <c r="GG56" s="45"/>
      <c r="GH56" s="45"/>
      <c r="GI56" s="45"/>
      <c r="GJ56" s="45"/>
      <c r="GK56" s="45"/>
      <c r="GL56" s="45"/>
      <c r="GP56" s="45"/>
      <c r="GQ56" s="45"/>
      <c r="GR56" s="45"/>
      <c r="GS56" s="45"/>
      <c r="GT56" s="168"/>
      <c r="GU56" s="45"/>
      <c r="GV56" s="45"/>
      <c r="GW56" s="45"/>
      <c r="GX56" s="45"/>
      <c r="GY56" s="45"/>
      <c r="GZ56" s="45"/>
      <c r="HD56" s="45"/>
      <c r="HE56" s="45"/>
      <c r="HF56" s="45"/>
      <c r="HG56" s="45"/>
      <c r="HH56" s="168"/>
      <c r="HI56" s="45"/>
      <c r="HJ56" s="45"/>
      <c r="HK56" s="45"/>
      <c r="HL56" s="45"/>
      <c r="HM56" s="45"/>
      <c r="HN56" s="45"/>
      <c r="HR56" s="45"/>
      <c r="HS56" s="45"/>
      <c r="HT56" s="45"/>
      <c r="HU56" s="45"/>
      <c r="HV56" s="168"/>
      <c r="HW56" s="45"/>
      <c r="HX56" s="45"/>
      <c r="HY56" s="45"/>
      <c r="HZ56" s="45"/>
      <c r="IA56" s="45"/>
      <c r="IB56" s="45"/>
      <c r="IF56" s="45"/>
      <c r="IG56" s="45"/>
      <c r="IH56" s="45"/>
      <c r="II56" s="45"/>
      <c r="IJ56" s="168"/>
      <c r="IK56" s="45"/>
      <c r="IL56" s="45"/>
      <c r="IM56" s="45"/>
      <c r="IN56" s="45"/>
      <c r="IO56" s="45"/>
      <c r="IP56" s="45"/>
      <c r="IT56" s="45"/>
      <c r="IU56" s="45"/>
      <c r="IV56" s="45"/>
      <c r="IW56" s="45"/>
      <c r="IX56" s="168"/>
      <c r="IY56" s="45"/>
      <c r="IZ56" s="45"/>
      <c r="JA56" s="45"/>
      <c r="JB56" s="45"/>
      <c r="JC56" s="45"/>
      <c r="JD56" s="45"/>
      <c r="JH56" s="45"/>
      <c r="JI56" s="45"/>
      <c r="JJ56" s="45"/>
      <c r="JK56" s="45"/>
      <c r="JL56" s="168"/>
      <c r="JM56" s="45"/>
      <c r="JN56" s="45"/>
      <c r="JO56" s="45"/>
      <c r="JP56" s="45"/>
      <c r="JQ56" s="45"/>
      <c r="JR56" s="45"/>
      <c r="JV56" s="45"/>
      <c r="JW56" s="45"/>
      <c r="JX56" s="45"/>
      <c r="JY56" s="45"/>
      <c r="JZ56" s="168"/>
      <c r="KA56" s="45"/>
      <c r="KB56" s="45"/>
      <c r="KC56" s="45"/>
      <c r="KD56" s="45"/>
      <c r="KE56" s="45"/>
      <c r="KF56" s="45"/>
      <c r="KJ56" s="45"/>
      <c r="KK56" s="45"/>
      <c r="KL56" s="45"/>
      <c r="KM56" s="45"/>
      <c r="KN56" s="168"/>
      <c r="KO56" s="45"/>
      <c r="KP56" s="45"/>
      <c r="KQ56" s="45"/>
      <c r="KR56" s="45"/>
      <c r="KS56" s="45"/>
      <c r="KT56" s="45"/>
      <c r="KX56" s="45"/>
      <c r="KY56" s="45"/>
      <c r="KZ56" s="45"/>
      <c r="LA56" s="45"/>
      <c r="LB56" s="45"/>
      <c r="LC56" s="45"/>
      <c r="LD56" s="45"/>
      <c r="LE56" s="45"/>
      <c r="LF56" s="45"/>
      <c r="LG56" s="45"/>
      <c r="LH56" s="45"/>
      <c r="LK56" s="45"/>
      <c r="LL56" s="45"/>
      <c r="LM56" s="45"/>
      <c r="LN56" s="45"/>
      <c r="LO56" s="45"/>
      <c r="LP56" s="45"/>
      <c r="LQ56" s="45"/>
      <c r="LR56" s="45"/>
      <c r="LS56" s="45"/>
      <c r="LT56" s="45"/>
      <c r="LU56" s="45"/>
      <c r="LV56" s="45"/>
      <c r="LX56" s="45"/>
      <c r="LY56" s="45"/>
      <c r="LZ56" s="45"/>
      <c r="MA56" s="45"/>
      <c r="MB56" s="168"/>
      <c r="MC56" s="45"/>
      <c r="MD56" s="45"/>
      <c r="ME56" s="45"/>
      <c r="MF56" s="45"/>
      <c r="MG56" s="45"/>
      <c r="MH56" s="45"/>
      <c r="ML56" s="45"/>
      <c r="MM56" s="45"/>
      <c r="MN56" s="45"/>
      <c r="MO56" s="45"/>
      <c r="MP56" s="168"/>
      <c r="MQ56" s="45"/>
      <c r="MR56" s="45"/>
      <c r="MS56" s="45"/>
      <c r="MT56" s="45"/>
      <c r="MU56" s="45"/>
      <c r="MV56" s="45"/>
      <c r="MZ56" s="45"/>
      <c r="NA56" s="45"/>
      <c r="NB56" s="45"/>
      <c r="NC56" s="45"/>
      <c r="ND56" s="45"/>
      <c r="NE56" s="45"/>
      <c r="NF56" s="45"/>
      <c r="NG56" s="45"/>
      <c r="NH56" s="45"/>
      <c r="NI56" s="45"/>
      <c r="NJ56" s="45"/>
      <c r="NM56" s="45"/>
      <c r="NN56" s="45"/>
      <c r="NO56" s="45"/>
      <c r="NP56" s="45"/>
      <c r="NQ56" s="45"/>
      <c r="NR56" s="45"/>
      <c r="NS56" s="45"/>
      <c r="NT56" s="45"/>
      <c r="NU56" s="45"/>
      <c r="NV56" s="45"/>
      <c r="NW56" s="45"/>
      <c r="NZ56" s="45"/>
      <c r="OA56" s="45"/>
      <c r="OB56" s="45"/>
      <c r="OC56" s="45"/>
      <c r="OD56" s="45"/>
      <c r="OE56" s="45"/>
      <c r="OF56" s="45"/>
      <c r="OG56" s="45"/>
      <c r="OH56" s="45"/>
      <c r="OI56" s="45"/>
      <c r="OJ56" s="45"/>
      <c r="OM56" s="45"/>
      <c r="ON56" s="45"/>
      <c r="OO56" s="45"/>
      <c r="OP56" s="45"/>
      <c r="OQ56" s="45"/>
      <c r="OR56" s="45"/>
      <c r="OS56" s="45"/>
      <c r="OT56" s="45"/>
      <c r="OU56" s="45"/>
      <c r="OV56" s="45"/>
      <c r="OW56" s="45"/>
      <c r="OZ56" s="45"/>
      <c r="PA56" s="45"/>
      <c r="PB56" s="45"/>
      <c r="PC56" s="45"/>
      <c r="PD56" s="45"/>
      <c r="PE56" s="45"/>
      <c r="PF56" s="45"/>
      <c r="PG56" s="45"/>
      <c r="PH56" s="45"/>
      <c r="PI56" s="45"/>
      <c r="PJ56" s="45"/>
      <c r="PM56" s="45"/>
      <c r="PN56" s="45"/>
      <c r="PO56" s="45"/>
      <c r="PP56" s="45"/>
      <c r="PQ56" s="45"/>
      <c r="PR56" s="45"/>
      <c r="PS56" s="45"/>
      <c r="PT56" s="45"/>
      <c r="PU56" s="45"/>
      <c r="PV56" s="45"/>
      <c r="PW56" s="45"/>
      <c r="PZ56" s="45"/>
      <c r="QA56" s="45"/>
      <c r="QB56" s="45"/>
      <c r="QC56" s="45"/>
      <c r="QD56" s="45"/>
      <c r="QE56" s="45"/>
      <c r="QF56" s="45"/>
      <c r="QG56" s="45"/>
      <c r="QH56" s="45"/>
      <c r="QI56" s="45"/>
      <c r="QJ56" s="45"/>
      <c r="QM56" s="45"/>
      <c r="QN56" s="45"/>
      <c r="QO56" s="45"/>
      <c r="QP56" s="45"/>
      <c r="QQ56" s="45"/>
      <c r="QR56" s="45"/>
      <c r="QS56" s="45"/>
      <c r="QT56" s="45"/>
      <c r="QU56" s="45"/>
      <c r="QV56" s="45"/>
      <c r="QW56" s="45"/>
      <c r="QZ56" s="45"/>
      <c r="RA56" s="45"/>
      <c r="RB56" s="45"/>
      <c r="RC56" s="45"/>
      <c r="RD56" s="45"/>
      <c r="RE56" s="45"/>
      <c r="RF56" s="45"/>
      <c r="RG56" s="45"/>
      <c r="RH56" s="45"/>
      <c r="RI56" s="45"/>
      <c r="RJ56" s="45"/>
      <c r="RM56" s="45"/>
      <c r="RN56" s="45"/>
      <c r="RO56" s="45"/>
      <c r="RP56" s="45"/>
      <c r="RQ56" s="45"/>
      <c r="RR56" s="45"/>
      <c r="RS56" s="45"/>
      <c r="RT56" s="45"/>
      <c r="RU56" s="45"/>
      <c r="RV56" s="45"/>
      <c r="RW56" s="45"/>
      <c r="RZ56" s="45"/>
      <c r="SA56" s="45"/>
      <c r="SB56" s="45"/>
      <c r="SC56" s="45"/>
      <c r="SD56" s="45"/>
      <c r="SE56" s="45"/>
      <c r="SF56" s="45"/>
      <c r="SG56" s="45"/>
      <c r="SH56" s="45"/>
      <c r="SI56" s="45"/>
      <c r="SJ56" s="45"/>
      <c r="SM56" s="45"/>
      <c r="SN56" s="45"/>
      <c r="SO56" s="45"/>
      <c r="SP56" s="45"/>
      <c r="SQ56" s="45"/>
      <c r="SR56" s="45"/>
      <c r="SS56" s="45"/>
      <c r="ST56" s="45"/>
      <c r="SU56" s="45"/>
      <c r="SV56" s="45"/>
      <c r="SW56" s="45"/>
      <c r="SZ56" s="45"/>
      <c r="TA56" s="45"/>
      <c r="TB56" s="45"/>
      <c r="TC56" s="45"/>
      <c r="TD56" s="45"/>
      <c r="TE56" s="45"/>
      <c r="TF56" s="45"/>
      <c r="TG56" s="45"/>
      <c r="TH56" s="45"/>
      <c r="TI56" s="45"/>
      <c r="TJ56" s="45"/>
      <c r="TM56" s="45"/>
      <c r="TN56" s="45"/>
      <c r="TO56" s="45"/>
      <c r="TP56" s="45"/>
      <c r="TQ56" s="45"/>
      <c r="TR56" s="45"/>
      <c r="TS56" s="45"/>
      <c r="TT56" s="45"/>
      <c r="TU56" s="45"/>
      <c r="TV56" s="45"/>
      <c r="TW56" s="45"/>
      <c r="TZ56" s="45"/>
      <c r="UA56" s="45"/>
      <c r="UB56" s="45"/>
      <c r="UC56" s="45"/>
      <c r="UD56" s="45"/>
      <c r="UE56" s="45"/>
      <c r="UF56" s="45"/>
      <c r="UG56" s="45"/>
      <c r="UH56" s="45"/>
      <c r="UI56" s="45"/>
      <c r="UJ56" s="45"/>
      <c r="UM56" s="45"/>
      <c r="UN56" s="45"/>
      <c r="UO56" s="45"/>
      <c r="UP56" s="45"/>
      <c r="UQ56" s="45"/>
      <c r="UR56" s="45"/>
      <c r="US56" s="45"/>
      <c r="UT56" s="45"/>
      <c r="UU56" s="45"/>
      <c r="UV56" s="45"/>
      <c r="UW56" s="45"/>
      <c r="UZ56" s="45"/>
      <c r="VA56" s="45"/>
      <c r="VB56" s="45"/>
      <c r="VC56" s="45"/>
      <c r="VD56" s="45"/>
      <c r="VE56" s="45"/>
      <c r="VF56" s="45"/>
      <c r="VG56" s="45"/>
      <c r="VH56" s="45"/>
      <c r="VI56" s="45"/>
      <c r="VJ56" s="45"/>
      <c r="VM56" s="45"/>
      <c r="VN56" s="45"/>
      <c r="VO56" s="45"/>
      <c r="VP56" s="45"/>
      <c r="VQ56" s="45"/>
      <c r="VR56" s="45"/>
      <c r="VS56" s="45"/>
      <c r="VT56" s="45"/>
      <c r="VU56" s="45"/>
      <c r="VV56" s="45"/>
      <c r="VW56" s="45"/>
      <c r="VZ56" s="45"/>
      <c r="WA56" s="45"/>
      <c r="WB56" s="45"/>
      <c r="WC56" s="45"/>
      <c r="WD56" s="45"/>
      <c r="WE56" s="45"/>
      <c r="WF56" s="45"/>
      <c r="WG56" s="45"/>
      <c r="WH56" s="45"/>
      <c r="WI56" s="45"/>
      <c r="WJ56" s="45"/>
      <c r="WM56" s="45"/>
      <c r="WN56" s="45"/>
      <c r="WO56" s="45"/>
      <c r="WP56" s="45"/>
      <c r="WQ56" s="45"/>
      <c r="WR56" s="45"/>
      <c r="WS56" s="45"/>
      <c r="WT56" s="45"/>
      <c r="WU56" s="45"/>
      <c r="WV56" s="45"/>
      <c r="WW56" s="45"/>
      <c r="WZ56" s="45"/>
      <c r="XA56" s="45"/>
      <c r="XB56" s="45"/>
      <c r="XC56" s="45"/>
      <c r="XD56" s="45"/>
      <c r="XE56" s="45"/>
      <c r="XF56" s="45"/>
      <c r="XG56" s="45"/>
      <c r="XH56" s="45"/>
      <c r="XI56" s="45"/>
      <c r="XJ56" s="45"/>
      <c r="XM56" s="45"/>
      <c r="XN56" s="45"/>
      <c r="XO56" s="45"/>
      <c r="XP56" s="45"/>
      <c r="XQ56" s="45"/>
      <c r="XR56" s="45"/>
      <c r="XS56" s="45"/>
      <c r="XT56" s="45"/>
      <c r="XU56" s="45"/>
      <c r="XV56" s="45"/>
      <c r="XW56" s="45"/>
      <c r="XZ56" s="45"/>
      <c r="YA56" s="45"/>
      <c r="YB56" s="45"/>
      <c r="YC56" s="45"/>
      <c r="YD56" s="45"/>
      <c r="YE56" s="45"/>
      <c r="YF56" s="45"/>
      <c r="YG56" s="45"/>
      <c r="YH56" s="45"/>
      <c r="YI56" s="45"/>
      <c r="YJ56" s="45"/>
    </row>
    <row r="57" spans="1:660">
      <c r="B57" s="45"/>
      <c r="C57" s="45"/>
      <c r="D57" s="45"/>
      <c r="E57" s="45"/>
      <c r="F57" s="168"/>
      <c r="G57" s="45"/>
      <c r="H57" s="45"/>
      <c r="I57" s="45"/>
      <c r="J57" s="45"/>
      <c r="K57" s="45"/>
      <c r="L57" s="45"/>
      <c r="P57" s="45"/>
      <c r="Q57" s="45"/>
      <c r="R57" s="45"/>
      <c r="S57" s="45"/>
      <c r="T57" s="168"/>
      <c r="U57" s="45"/>
      <c r="V57" s="45"/>
      <c r="W57" s="45"/>
      <c r="X57" s="45"/>
      <c r="Y57" s="45"/>
      <c r="Z57" s="45"/>
      <c r="AD57" s="45"/>
      <c r="AE57" s="45"/>
      <c r="AF57" s="45"/>
      <c r="AG57" s="45"/>
      <c r="AH57" s="168"/>
      <c r="AI57" s="45"/>
      <c r="AJ57" s="45"/>
      <c r="AK57" s="45"/>
      <c r="AL57" s="45"/>
      <c r="AM57" s="45"/>
      <c r="AN57" s="45"/>
      <c r="AR57" s="45"/>
      <c r="AS57" s="45"/>
      <c r="AT57" s="45"/>
      <c r="AU57" s="45"/>
      <c r="AV57" s="168"/>
      <c r="AW57" s="45"/>
      <c r="AX57" s="45"/>
      <c r="AY57" s="45"/>
      <c r="AZ57" s="45"/>
      <c r="BA57" s="45"/>
      <c r="BB57" s="45"/>
      <c r="BF57" s="45"/>
      <c r="BG57" s="45"/>
      <c r="BH57" s="45"/>
      <c r="BI57" s="45"/>
      <c r="BJ57" s="168"/>
      <c r="BK57" s="45"/>
      <c r="BL57" s="45"/>
      <c r="BM57" s="45"/>
      <c r="BN57" s="45"/>
      <c r="BO57" s="45"/>
      <c r="BP57" s="45"/>
      <c r="BT57" s="45"/>
      <c r="BU57" s="45"/>
      <c r="BV57" s="45"/>
      <c r="BW57" s="45"/>
      <c r="BX57" s="168"/>
      <c r="BY57" s="45"/>
      <c r="BZ57" s="45"/>
      <c r="CA57" s="45"/>
      <c r="CB57" s="45"/>
      <c r="CC57" s="45"/>
      <c r="CD57" s="45"/>
      <c r="CH57" s="45"/>
      <c r="CI57" s="45"/>
      <c r="CJ57" s="45"/>
      <c r="CK57" s="45"/>
      <c r="CL57" s="168"/>
      <c r="CM57" s="45"/>
      <c r="CN57" s="45"/>
      <c r="CO57" s="45"/>
      <c r="CP57" s="45"/>
      <c r="CQ57" s="45"/>
      <c r="CR57" s="45"/>
      <c r="CV57" s="45"/>
      <c r="CW57" s="45"/>
      <c r="CX57" s="45"/>
      <c r="CY57" s="45"/>
      <c r="CZ57" s="168"/>
      <c r="DA57" s="45"/>
      <c r="DB57" s="45"/>
      <c r="DC57" s="45"/>
      <c r="DD57" s="45"/>
      <c r="DE57" s="45"/>
      <c r="DF57" s="45"/>
      <c r="DJ57" s="45"/>
      <c r="DK57" s="45"/>
      <c r="DL57" s="45"/>
      <c r="DM57" s="45"/>
      <c r="DN57" s="168"/>
      <c r="DO57" s="45"/>
      <c r="DP57" s="45"/>
      <c r="DQ57" s="45"/>
      <c r="DR57" s="45"/>
      <c r="DS57" s="45"/>
      <c r="DT57" s="45"/>
      <c r="DX57" s="45"/>
      <c r="DY57" s="45"/>
      <c r="DZ57" s="45"/>
      <c r="EA57" s="45"/>
      <c r="EB57" s="168"/>
      <c r="EC57" s="45"/>
      <c r="ED57" s="45"/>
      <c r="EE57" s="45"/>
      <c r="EF57" s="45"/>
      <c r="EG57" s="45"/>
      <c r="EH57" s="45"/>
      <c r="EL57" s="45"/>
      <c r="EM57" s="45"/>
      <c r="EN57" s="45"/>
      <c r="EO57" s="45"/>
      <c r="EP57" s="168"/>
      <c r="EQ57" s="45"/>
      <c r="ER57" s="45"/>
      <c r="ES57" s="45"/>
      <c r="ET57" s="45"/>
      <c r="EU57" s="45"/>
      <c r="EV57" s="45"/>
      <c r="EZ57" s="45"/>
      <c r="FA57" s="45"/>
      <c r="FB57" s="45"/>
      <c r="FC57" s="45"/>
      <c r="FD57" s="168"/>
      <c r="FE57" s="45"/>
      <c r="FF57" s="45"/>
      <c r="FG57" s="45"/>
      <c r="FH57" s="45"/>
      <c r="FI57" s="45"/>
      <c r="FJ57" s="45"/>
      <c r="FN57" s="45"/>
      <c r="FO57" s="45"/>
      <c r="FP57" s="45"/>
      <c r="FQ57" s="45"/>
      <c r="FR57" s="168"/>
      <c r="FS57" s="45"/>
      <c r="FT57" s="45"/>
      <c r="FU57" s="45"/>
      <c r="FV57" s="45"/>
      <c r="FW57" s="45"/>
      <c r="FX57" s="45"/>
      <c r="GB57" s="45"/>
      <c r="GC57" s="45"/>
      <c r="GD57" s="45"/>
      <c r="GE57" s="45"/>
      <c r="GF57" s="168"/>
      <c r="GG57" s="45"/>
      <c r="GH57" s="45"/>
      <c r="GI57" s="45"/>
      <c r="GJ57" s="45"/>
      <c r="GK57" s="45"/>
      <c r="GL57" s="45"/>
      <c r="GP57" s="45"/>
      <c r="GQ57" s="45"/>
      <c r="GR57" s="45"/>
      <c r="GS57" s="45"/>
      <c r="GT57" s="168"/>
      <c r="GU57" s="45"/>
      <c r="GV57" s="45"/>
      <c r="GW57" s="45"/>
      <c r="GX57" s="45"/>
      <c r="GY57" s="45"/>
      <c r="GZ57" s="45"/>
      <c r="HD57" s="45"/>
      <c r="HE57" s="45"/>
      <c r="HF57" s="45"/>
      <c r="HG57" s="45"/>
      <c r="HH57" s="168"/>
      <c r="HI57" s="45"/>
      <c r="HJ57" s="45"/>
      <c r="HK57" s="45"/>
      <c r="HL57" s="45"/>
      <c r="HM57" s="45"/>
      <c r="HN57" s="45"/>
      <c r="HR57" s="45"/>
      <c r="HS57" s="45"/>
      <c r="HT57" s="45"/>
      <c r="HU57" s="45"/>
      <c r="HV57" s="168"/>
      <c r="HW57" s="45"/>
      <c r="HX57" s="45"/>
      <c r="HY57" s="45"/>
      <c r="HZ57" s="45"/>
      <c r="IA57" s="45"/>
      <c r="IB57" s="45"/>
      <c r="IF57" s="45"/>
      <c r="IG57" s="45"/>
      <c r="IH57" s="45"/>
      <c r="II57" s="45"/>
      <c r="IJ57" s="168"/>
      <c r="IK57" s="45"/>
      <c r="IL57" s="45"/>
      <c r="IM57" s="45"/>
      <c r="IN57" s="45"/>
      <c r="IO57" s="45"/>
      <c r="IP57" s="45"/>
      <c r="IT57" s="45"/>
      <c r="IU57" s="45"/>
      <c r="IV57" s="45"/>
      <c r="IW57" s="45"/>
      <c r="IX57" s="168"/>
      <c r="IY57" s="45"/>
      <c r="IZ57" s="45"/>
      <c r="JA57" s="45"/>
      <c r="JB57" s="45"/>
      <c r="JC57" s="45"/>
      <c r="JD57" s="45"/>
      <c r="JH57" s="45"/>
      <c r="JI57" s="45"/>
      <c r="JJ57" s="45"/>
      <c r="JK57" s="45"/>
      <c r="JL57" s="168"/>
      <c r="JM57" s="45"/>
      <c r="JN57" s="45"/>
      <c r="JO57" s="45"/>
      <c r="JP57" s="45"/>
      <c r="JQ57" s="45"/>
      <c r="JR57" s="45"/>
      <c r="JV57" s="45"/>
      <c r="JW57" s="45"/>
      <c r="JX57" s="45"/>
      <c r="JY57" s="45"/>
      <c r="JZ57" s="168"/>
      <c r="KA57" s="45"/>
      <c r="KB57" s="45"/>
      <c r="KC57" s="45"/>
      <c r="KD57" s="45"/>
      <c r="KE57" s="45"/>
      <c r="KF57" s="45"/>
      <c r="KJ57" s="45"/>
      <c r="KK57" s="45"/>
      <c r="KL57" s="45"/>
      <c r="KM57" s="45"/>
      <c r="KN57" s="168"/>
      <c r="KO57" s="45"/>
      <c r="KP57" s="45"/>
      <c r="KQ57" s="45"/>
      <c r="KR57" s="45"/>
      <c r="KS57" s="45"/>
      <c r="KT57" s="45"/>
      <c r="KX57" s="45"/>
      <c r="KY57" s="45"/>
      <c r="KZ57" s="45"/>
      <c r="LA57" s="45"/>
      <c r="LB57" s="45"/>
      <c r="LC57" s="45"/>
      <c r="LD57" s="45"/>
      <c r="LE57" s="45"/>
      <c r="LF57" s="45"/>
      <c r="LG57" s="45"/>
      <c r="LH57" s="45"/>
      <c r="LK57" s="45"/>
      <c r="LL57" s="45"/>
      <c r="LM57" s="45"/>
      <c r="LN57" s="45"/>
      <c r="LO57" s="45"/>
      <c r="LP57" s="45"/>
      <c r="LQ57" s="45"/>
      <c r="LR57" s="45"/>
      <c r="LS57" s="45"/>
      <c r="LT57" s="45"/>
      <c r="LU57" s="45"/>
      <c r="LV57" s="45"/>
      <c r="LX57" s="45"/>
      <c r="LY57" s="45"/>
      <c r="LZ57" s="45"/>
      <c r="MA57" s="45"/>
      <c r="MB57" s="168"/>
      <c r="MC57" s="45"/>
      <c r="MD57" s="45"/>
      <c r="ME57" s="45"/>
      <c r="MF57" s="45"/>
      <c r="MG57" s="45"/>
      <c r="MH57" s="45"/>
      <c r="ML57" s="45"/>
      <c r="MM57" s="45"/>
      <c r="MN57" s="45"/>
      <c r="MO57" s="45"/>
      <c r="MP57" s="168"/>
      <c r="MQ57" s="45"/>
      <c r="MR57" s="45"/>
      <c r="MS57" s="45"/>
      <c r="MT57" s="45"/>
      <c r="MU57" s="45"/>
      <c r="MV57" s="45"/>
      <c r="MZ57" s="45"/>
      <c r="NA57" s="45"/>
      <c r="NB57" s="45"/>
      <c r="NC57" s="45"/>
      <c r="ND57" s="45"/>
      <c r="NE57" s="45"/>
      <c r="NF57" s="45"/>
      <c r="NG57" s="45"/>
      <c r="NH57" s="45"/>
      <c r="NI57" s="45"/>
      <c r="NJ57" s="45"/>
      <c r="NM57" s="45"/>
      <c r="NN57" s="45"/>
      <c r="NO57" s="45"/>
      <c r="NP57" s="45"/>
      <c r="NQ57" s="45"/>
      <c r="NR57" s="45"/>
      <c r="NS57" s="45"/>
      <c r="NT57" s="45"/>
      <c r="NU57" s="45"/>
      <c r="NV57" s="45"/>
      <c r="NW57" s="45"/>
      <c r="NZ57" s="45"/>
      <c r="OA57" s="45"/>
      <c r="OB57" s="45"/>
      <c r="OC57" s="45"/>
      <c r="OD57" s="45"/>
      <c r="OE57" s="45"/>
      <c r="OF57" s="45"/>
      <c r="OG57" s="45"/>
      <c r="OH57" s="45"/>
      <c r="OI57" s="45"/>
      <c r="OJ57" s="45"/>
      <c r="OM57" s="45"/>
      <c r="ON57" s="45"/>
      <c r="OO57" s="45"/>
      <c r="OP57" s="45"/>
      <c r="OQ57" s="45"/>
      <c r="OR57" s="45"/>
      <c r="OS57" s="45"/>
      <c r="OT57" s="45"/>
      <c r="OU57" s="45"/>
      <c r="OV57" s="45"/>
      <c r="OW57" s="45"/>
      <c r="OZ57" s="45"/>
      <c r="PA57" s="45"/>
      <c r="PB57" s="45"/>
      <c r="PC57" s="45"/>
      <c r="PD57" s="45"/>
      <c r="PE57" s="45"/>
      <c r="PF57" s="45"/>
      <c r="PG57" s="45"/>
      <c r="PH57" s="45"/>
      <c r="PI57" s="45"/>
      <c r="PJ57" s="45"/>
      <c r="PM57" s="45"/>
      <c r="PN57" s="45"/>
      <c r="PO57" s="45"/>
      <c r="PP57" s="45"/>
      <c r="PQ57" s="45"/>
      <c r="PR57" s="45"/>
      <c r="PS57" s="45"/>
      <c r="PT57" s="45"/>
      <c r="PU57" s="45"/>
      <c r="PV57" s="45"/>
      <c r="PW57" s="45"/>
      <c r="PZ57" s="45"/>
      <c r="QA57" s="45"/>
      <c r="QB57" s="45"/>
      <c r="QC57" s="45"/>
      <c r="QD57" s="45"/>
      <c r="QE57" s="45"/>
      <c r="QF57" s="45"/>
      <c r="QG57" s="45"/>
      <c r="QH57" s="45"/>
      <c r="QI57" s="45"/>
      <c r="QJ57" s="45"/>
      <c r="QM57" s="45"/>
      <c r="QN57" s="45"/>
      <c r="QO57" s="45"/>
      <c r="QP57" s="45"/>
      <c r="QQ57" s="45"/>
      <c r="QR57" s="45"/>
      <c r="QS57" s="45"/>
      <c r="QT57" s="45"/>
      <c r="QU57" s="45"/>
      <c r="QV57" s="45"/>
      <c r="QW57" s="45"/>
      <c r="QZ57" s="45"/>
      <c r="RA57" s="45"/>
      <c r="RB57" s="45"/>
      <c r="RC57" s="45"/>
      <c r="RD57" s="45"/>
      <c r="RE57" s="45"/>
      <c r="RF57" s="45"/>
      <c r="RG57" s="45"/>
      <c r="RH57" s="45"/>
      <c r="RI57" s="45"/>
      <c r="RJ57" s="45"/>
      <c r="RM57" s="45"/>
      <c r="RN57" s="45"/>
      <c r="RO57" s="45"/>
      <c r="RP57" s="45"/>
      <c r="RQ57" s="45"/>
      <c r="RR57" s="45"/>
      <c r="RS57" s="45"/>
      <c r="RT57" s="45"/>
      <c r="RU57" s="45"/>
      <c r="RV57" s="45"/>
      <c r="RW57" s="45"/>
      <c r="RZ57" s="45"/>
      <c r="SA57" s="45"/>
      <c r="SB57" s="45"/>
      <c r="SC57" s="45"/>
      <c r="SD57" s="45"/>
      <c r="SE57" s="45"/>
      <c r="SF57" s="45"/>
      <c r="SG57" s="45"/>
      <c r="SH57" s="45"/>
      <c r="SI57" s="45"/>
      <c r="SJ57" s="45"/>
      <c r="SM57" s="45"/>
      <c r="SN57" s="45"/>
      <c r="SO57" s="45"/>
      <c r="SP57" s="45"/>
      <c r="SQ57" s="45"/>
      <c r="SR57" s="45"/>
      <c r="SS57" s="45"/>
      <c r="ST57" s="45"/>
      <c r="SU57" s="45"/>
      <c r="SV57" s="45"/>
      <c r="SW57" s="45"/>
      <c r="SZ57" s="45"/>
      <c r="TA57" s="45"/>
      <c r="TB57" s="45"/>
      <c r="TC57" s="45"/>
      <c r="TD57" s="45"/>
      <c r="TE57" s="45"/>
      <c r="TF57" s="45"/>
      <c r="TG57" s="45"/>
      <c r="TH57" s="45"/>
      <c r="TI57" s="45"/>
      <c r="TJ57" s="45"/>
      <c r="TM57" s="45"/>
      <c r="TN57" s="45"/>
      <c r="TO57" s="45"/>
      <c r="TP57" s="45"/>
      <c r="TQ57" s="45"/>
      <c r="TR57" s="45"/>
      <c r="TS57" s="45"/>
      <c r="TT57" s="45"/>
      <c r="TU57" s="45"/>
      <c r="TV57" s="45"/>
      <c r="TW57" s="45"/>
      <c r="TZ57" s="45"/>
      <c r="UA57" s="45"/>
      <c r="UB57" s="45"/>
      <c r="UC57" s="45"/>
      <c r="UD57" s="45"/>
      <c r="UE57" s="45"/>
      <c r="UF57" s="45"/>
      <c r="UG57" s="45"/>
      <c r="UH57" s="45"/>
      <c r="UI57" s="45"/>
      <c r="UJ57" s="45"/>
      <c r="UM57" s="45"/>
      <c r="UN57" s="45"/>
      <c r="UO57" s="45"/>
      <c r="UP57" s="45"/>
      <c r="UQ57" s="45"/>
      <c r="UR57" s="45"/>
      <c r="US57" s="45"/>
      <c r="UT57" s="45"/>
      <c r="UU57" s="45"/>
      <c r="UV57" s="45"/>
      <c r="UW57" s="45"/>
      <c r="UZ57" s="45"/>
      <c r="VA57" s="45"/>
      <c r="VB57" s="45"/>
      <c r="VC57" s="45"/>
      <c r="VD57" s="45"/>
      <c r="VE57" s="45"/>
      <c r="VF57" s="45"/>
      <c r="VG57" s="45"/>
      <c r="VH57" s="45"/>
      <c r="VI57" s="45"/>
      <c r="VJ57" s="45"/>
      <c r="VM57" s="45"/>
      <c r="VN57" s="45"/>
      <c r="VO57" s="45"/>
      <c r="VP57" s="45"/>
      <c r="VQ57" s="45"/>
      <c r="VR57" s="45"/>
      <c r="VS57" s="45"/>
      <c r="VT57" s="45"/>
      <c r="VU57" s="45"/>
      <c r="VV57" s="45"/>
      <c r="VW57" s="45"/>
      <c r="VZ57" s="45"/>
      <c r="WA57" s="45"/>
      <c r="WB57" s="45"/>
      <c r="WC57" s="45"/>
      <c r="WD57" s="45"/>
      <c r="WE57" s="45"/>
      <c r="WF57" s="45"/>
      <c r="WG57" s="45"/>
      <c r="WH57" s="45"/>
      <c r="WI57" s="45"/>
      <c r="WJ57" s="45"/>
      <c r="WM57" s="45"/>
      <c r="WN57" s="45"/>
      <c r="WO57" s="45"/>
      <c r="WP57" s="45"/>
      <c r="WQ57" s="45"/>
      <c r="WR57" s="45"/>
      <c r="WS57" s="45"/>
      <c r="WT57" s="45"/>
      <c r="WU57" s="45"/>
      <c r="WV57" s="45"/>
      <c r="WW57" s="45"/>
      <c r="WZ57" s="45"/>
      <c r="XA57" s="45"/>
      <c r="XB57" s="45"/>
      <c r="XC57" s="45"/>
      <c r="XD57" s="45"/>
      <c r="XE57" s="45"/>
      <c r="XF57" s="45"/>
      <c r="XG57" s="45"/>
      <c r="XH57" s="45"/>
      <c r="XI57" s="45"/>
      <c r="XJ57" s="45"/>
      <c r="XM57" s="45"/>
      <c r="XN57" s="45"/>
      <c r="XO57" s="45"/>
      <c r="XP57" s="45"/>
      <c r="XQ57" s="45"/>
      <c r="XR57" s="45"/>
      <c r="XS57" s="45"/>
      <c r="XT57" s="45"/>
      <c r="XU57" s="45"/>
      <c r="XV57" s="45"/>
      <c r="XW57" s="45"/>
      <c r="XZ57" s="45"/>
      <c r="YA57" s="45"/>
      <c r="YB57" s="45"/>
      <c r="YC57" s="45"/>
      <c r="YD57" s="45"/>
      <c r="YE57" s="45"/>
      <c r="YF57" s="45"/>
      <c r="YG57" s="45"/>
      <c r="YH57" s="45"/>
      <c r="YI57" s="45"/>
      <c r="YJ57" s="45"/>
    </row>
    <row r="58" spans="1:660">
      <c r="B58" s="45"/>
      <c r="C58" s="45"/>
      <c r="D58" s="45"/>
      <c r="E58" s="45"/>
      <c r="F58" s="168"/>
      <c r="G58" s="45"/>
      <c r="H58" s="45"/>
      <c r="I58" s="45"/>
      <c r="J58" s="45"/>
      <c r="K58" s="45"/>
      <c r="L58" s="45"/>
      <c r="P58" s="45"/>
      <c r="Q58" s="45"/>
      <c r="R58" s="45"/>
      <c r="S58" s="45"/>
      <c r="T58" s="168"/>
      <c r="U58" s="45"/>
      <c r="V58" s="45"/>
      <c r="W58" s="45"/>
      <c r="X58" s="45"/>
      <c r="Y58" s="45"/>
      <c r="Z58" s="45"/>
      <c r="AD58" s="45"/>
      <c r="AE58" s="45"/>
      <c r="AF58" s="45"/>
      <c r="AG58" s="45"/>
      <c r="AH58" s="168"/>
      <c r="AI58" s="45"/>
      <c r="AJ58" s="45"/>
      <c r="AK58" s="45"/>
      <c r="AL58" s="45"/>
      <c r="AM58" s="45"/>
      <c r="AN58" s="45"/>
      <c r="AR58" s="45"/>
      <c r="AS58" s="45"/>
      <c r="AT58" s="45"/>
      <c r="AU58" s="45"/>
      <c r="AV58" s="168"/>
      <c r="AW58" s="45"/>
      <c r="AX58" s="45"/>
      <c r="AY58" s="45"/>
      <c r="AZ58" s="45"/>
      <c r="BA58" s="45"/>
      <c r="BB58" s="45"/>
      <c r="BF58" s="45"/>
      <c r="BG58" s="45"/>
      <c r="BH58" s="45"/>
      <c r="BI58" s="45"/>
      <c r="BJ58" s="168"/>
      <c r="BK58" s="45"/>
      <c r="BL58" s="45"/>
      <c r="BM58" s="45"/>
      <c r="BN58" s="45"/>
      <c r="BO58" s="45"/>
      <c r="BP58" s="45"/>
      <c r="BT58" s="45"/>
      <c r="BU58" s="45"/>
      <c r="BV58" s="45"/>
      <c r="BW58" s="45"/>
      <c r="BX58" s="168"/>
      <c r="BY58" s="45"/>
      <c r="BZ58" s="45"/>
      <c r="CA58" s="45"/>
      <c r="CB58" s="45"/>
      <c r="CC58" s="45"/>
      <c r="CD58" s="45"/>
      <c r="CH58" s="45"/>
      <c r="CI58" s="45"/>
      <c r="CJ58" s="45"/>
      <c r="CK58" s="45"/>
      <c r="CL58" s="168"/>
      <c r="CM58" s="45"/>
      <c r="CN58" s="45"/>
      <c r="CO58" s="45"/>
      <c r="CP58" s="45"/>
      <c r="CQ58" s="45"/>
      <c r="CR58" s="45"/>
      <c r="CV58" s="45"/>
      <c r="CW58" s="45"/>
      <c r="CX58" s="45"/>
      <c r="CY58" s="45"/>
      <c r="CZ58" s="168"/>
      <c r="DA58" s="45"/>
      <c r="DB58" s="45"/>
      <c r="DC58" s="45"/>
      <c r="DD58" s="45"/>
      <c r="DE58" s="45"/>
      <c r="DF58" s="45"/>
      <c r="DJ58" s="45"/>
      <c r="DK58" s="45"/>
      <c r="DL58" s="45"/>
      <c r="DM58" s="45"/>
      <c r="DN58" s="168"/>
      <c r="DO58" s="45"/>
      <c r="DP58" s="45"/>
      <c r="DQ58" s="45"/>
      <c r="DR58" s="45"/>
      <c r="DS58" s="45"/>
      <c r="DT58" s="45"/>
      <c r="DX58" s="45"/>
      <c r="DY58" s="45"/>
      <c r="DZ58" s="45"/>
      <c r="EA58" s="45"/>
      <c r="EB58" s="168"/>
      <c r="EC58" s="45"/>
      <c r="ED58" s="45"/>
      <c r="EE58" s="45"/>
      <c r="EF58" s="45"/>
      <c r="EG58" s="45"/>
      <c r="EH58" s="45"/>
      <c r="EL58" s="45"/>
      <c r="EM58" s="45"/>
      <c r="EN58" s="45"/>
      <c r="EO58" s="45"/>
      <c r="EP58" s="168"/>
      <c r="EQ58" s="45"/>
      <c r="ER58" s="45"/>
      <c r="ES58" s="45"/>
      <c r="ET58" s="45"/>
      <c r="EU58" s="45"/>
      <c r="EV58" s="45"/>
      <c r="EZ58" s="45"/>
      <c r="FA58" s="45"/>
      <c r="FB58" s="45"/>
      <c r="FC58" s="45"/>
      <c r="FD58" s="168"/>
      <c r="FE58" s="45"/>
      <c r="FF58" s="45"/>
      <c r="FG58" s="45"/>
      <c r="FH58" s="45"/>
      <c r="FI58" s="45"/>
      <c r="FJ58" s="45"/>
      <c r="FN58" s="45"/>
      <c r="FO58" s="45"/>
      <c r="FP58" s="45"/>
      <c r="FQ58" s="45"/>
      <c r="FR58" s="168"/>
      <c r="FS58" s="45"/>
      <c r="FT58" s="45"/>
      <c r="FU58" s="45"/>
      <c r="FV58" s="45"/>
      <c r="FW58" s="45"/>
      <c r="FX58" s="45"/>
      <c r="GB58" s="45"/>
      <c r="GC58" s="45"/>
      <c r="GD58" s="45"/>
      <c r="GE58" s="45"/>
      <c r="GF58" s="168"/>
      <c r="GG58" s="45"/>
      <c r="GH58" s="45"/>
      <c r="GI58" s="45"/>
      <c r="GJ58" s="45"/>
      <c r="GK58" s="45"/>
      <c r="GL58" s="45"/>
      <c r="GP58" s="45"/>
      <c r="GQ58" s="45"/>
      <c r="GR58" s="45"/>
      <c r="GS58" s="45"/>
      <c r="GT58" s="168"/>
      <c r="GU58" s="45"/>
      <c r="GV58" s="45"/>
      <c r="GW58" s="45"/>
      <c r="GX58" s="45"/>
      <c r="GY58" s="45"/>
      <c r="GZ58" s="45"/>
      <c r="HD58" s="45"/>
      <c r="HE58" s="45"/>
      <c r="HF58" s="45"/>
      <c r="HG58" s="45"/>
      <c r="HH58" s="168"/>
      <c r="HI58" s="45"/>
      <c r="HJ58" s="45"/>
      <c r="HK58" s="45"/>
      <c r="HL58" s="45"/>
      <c r="HM58" s="45"/>
      <c r="HN58" s="45"/>
      <c r="HR58" s="45"/>
      <c r="HS58" s="45"/>
      <c r="HT58" s="45"/>
      <c r="HU58" s="45"/>
      <c r="HV58" s="168"/>
      <c r="HW58" s="45"/>
      <c r="HX58" s="45"/>
      <c r="HY58" s="45"/>
      <c r="HZ58" s="45"/>
      <c r="IA58" s="45"/>
      <c r="IB58" s="45"/>
      <c r="IF58" s="45"/>
      <c r="IG58" s="45"/>
      <c r="IH58" s="45"/>
      <c r="II58" s="45"/>
      <c r="IJ58" s="168"/>
      <c r="IK58" s="45"/>
      <c r="IL58" s="45"/>
      <c r="IM58" s="45"/>
      <c r="IN58" s="45"/>
      <c r="IO58" s="45"/>
      <c r="IP58" s="45"/>
      <c r="IT58" s="45"/>
      <c r="IU58" s="45"/>
      <c r="IV58" s="45"/>
      <c r="IW58" s="45"/>
      <c r="IX58" s="168"/>
      <c r="IY58" s="45"/>
      <c r="IZ58" s="45"/>
      <c r="JA58" s="45"/>
      <c r="JB58" s="45"/>
      <c r="JC58" s="45"/>
      <c r="JD58" s="45"/>
      <c r="JH58" s="45"/>
      <c r="JI58" s="45"/>
      <c r="JJ58" s="45"/>
      <c r="JK58" s="45"/>
      <c r="JL58" s="168"/>
      <c r="JM58" s="45"/>
      <c r="JN58" s="45"/>
      <c r="JO58" s="45"/>
      <c r="JP58" s="45"/>
      <c r="JQ58" s="45"/>
      <c r="JR58" s="45"/>
      <c r="JV58" s="45"/>
      <c r="JW58" s="45"/>
      <c r="JX58" s="45"/>
      <c r="JY58" s="45"/>
      <c r="JZ58" s="168"/>
      <c r="KA58" s="45"/>
      <c r="KB58" s="45"/>
      <c r="KC58" s="45"/>
      <c r="KD58" s="45"/>
      <c r="KE58" s="45"/>
      <c r="KF58" s="45"/>
      <c r="KJ58" s="45"/>
      <c r="KK58" s="45"/>
      <c r="KL58" s="45"/>
      <c r="KM58" s="45"/>
      <c r="KN58" s="168"/>
      <c r="KO58" s="45"/>
      <c r="KP58" s="45"/>
      <c r="KQ58" s="45"/>
      <c r="KR58" s="45"/>
      <c r="KS58" s="45"/>
      <c r="KT58" s="45"/>
      <c r="KX58" s="45"/>
      <c r="KY58" s="45"/>
      <c r="KZ58" s="45"/>
      <c r="LA58" s="45"/>
      <c r="LB58" s="45"/>
      <c r="LC58" s="45"/>
      <c r="LD58" s="45"/>
      <c r="LE58" s="45"/>
      <c r="LF58" s="45"/>
      <c r="LG58" s="45"/>
      <c r="LH58" s="45"/>
      <c r="LK58" s="45"/>
      <c r="LL58" s="45"/>
      <c r="LM58" s="45"/>
      <c r="LN58" s="45"/>
      <c r="LO58" s="45"/>
      <c r="LP58" s="45"/>
      <c r="LQ58" s="45"/>
      <c r="LR58" s="45"/>
      <c r="LS58" s="45"/>
      <c r="LT58" s="45"/>
      <c r="LU58" s="45"/>
      <c r="LV58" s="45"/>
      <c r="LX58" s="45"/>
      <c r="LY58" s="45"/>
      <c r="LZ58" s="45"/>
      <c r="MA58" s="45"/>
      <c r="MB58" s="168"/>
      <c r="MC58" s="45"/>
      <c r="MD58" s="45"/>
      <c r="ME58" s="45"/>
      <c r="MF58" s="45"/>
      <c r="MG58" s="45"/>
      <c r="MH58" s="45"/>
      <c r="ML58" s="45"/>
      <c r="MM58" s="45"/>
      <c r="MN58" s="45"/>
      <c r="MO58" s="45"/>
      <c r="MP58" s="168"/>
      <c r="MQ58" s="45"/>
      <c r="MR58" s="45"/>
      <c r="MS58" s="45"/>
      <c r="MT58" s="45"/>
      <c r="MU58" s="45"/>
      <c r="MV58" s="45"/>
      <c r="MZ58" s="45"/>
      <c r="NA58" s="45"/>
      <c r="NB58" s="45"/>
      <c r="NC58" s="45"/>
      <c r="ND58" s="45"/>
      <c r="NE58" s="45"/>
      <c r="NF58" s="45"/>
      <c r="NG58" s="45"/>
      <c r="NH58" s="45"/>
      <c r="NI58" s="45"/>
      <c r="NJ58" s="45"/>
      <c r="NM58" s="45"/>
      <c r="NN58" s="45"/>
      <c r="NO58" s="45"/>
      <c r="NP58" s="45"/>
      <c r="NQ58" s="45"/>
      <c r="NR58" s="45"/>
      <c r="NS58" s="45"/>
      <c r="NT58" s="45"/>
      <c r="NU58" s="45"/>
      <c r="NV58" s="45"/>
      <c r="NW58" s="45"/>
      <c r="NZ58" s="45"/>
      <c r="OA58" s="45"/>
      <c r="OB58" s="45"/>
      <c r="OC58" s="45"/>
      <c r="OD58" s="45"/>
      <c r="OE58" s="45"/>
      <c r="OF58" s="45"/>
      <c r="OG58" s="45"/>
      <c r="OH58" s="45"/>
      <c r="OI58" s="45"/>
      <c r="OJ58" s="45"/>
      <c r="OM58" s="45"/>
      <c r="ON58" s="45"/>
      <c r="OO58" s="45"/>
      <c r="OP58" s="45"/>
      <c r="OQ58" s="45"/>
      <c r="OR58" s="45"/>
      <c r="OS58" s="45"/>
      <c r="OT58" s="45"/>
      <c r="OU58" s="45"/>
      <c r="OV58" s="45"/>
      <c r="OW58" s="45"/>
      <c r="OZ58" s="45"/>
      <c r="PA58" s="45"/>
      <c r="PB58" s="45"/>
      <c r="PC58" s="45"/>
      <c r="PD58" s="45"/>
      <c r="PE58" s="45"/>
      <c r="PF58" s="45"/>
      <c r="PG58" s="45"/>
      <c r="PH58" s="45"/>
      <c r="PI58" s="45"/>
      <c r="PJ58" s="45"/>
      <c r="PM58" s="45"/>
      <c r="PN58" s="45"/>
      <c r="PO58" s="45"/>
      <c r="PP58" s="45"/>
      <c r="PQ58" s="45"/>
      <c r="PR58" s="45"/>
      <c r="PS58" s="45"/>
      <c r="PT58" s="45"/>
      <c r="PU58" s="45"/>
      <c r="PV58" s="45"/>
      <c r="PW58" s="45"/>
      <c r="PZ58" s="45"/>
      <c r="QA58" s="45"/>
      <c r="QB58" s="45"/>
      <c r="QC58" s="45"/>
      <c r="QD58" s="45"/>
      <c r="QE58" s="45"/>
      <c r="QF58" s="45"/>
      <c r="QG58" s="45"/>
      <c r="QH58" s="45"/>
      <c r="QI58" s="45"/>
      <c r="QJ58" s="45"/>
      <c r="QM58" s="45"/>
      <c r="QN58" s="45"/>
      <c r="QO58" s="45"/>
      <c r="QP58" s="45"/>
      <c r="QQ58" s="45"/>
      <c r="QR58" s="45"/>
      <c r="QS58" s="45"/>
      <c r="QT58" s="45"/>
      <c r="QU58" s="45"/>
      <c r="QV58" s="45"/>
      <c r="QW58" s="45"/>
      <c r="QZ58" s="45"/>
      <c r="RA58" s="45"/>
      <c r="RB58" s="45"/>
      <c r="RC58" s="45"/>
      <c r="RD58" s="45"/>
      <c r="RE58" s="45"/>
      <c r="RF58" s="45"/>
      <c r="RG58" s="45"/>
      <c r="RH58" s="45"/>
      <c r="RI58" s="45"/>
      <c r="RJ58" s="45"/>
      <c r="RM58" s="45"/>
      <c r="RN58" s="45"/>
      <c r="RO58" s="45"/>
      <c r="RP58" s="45"/>
      <c r="RQ58" s="45"/>
      <c r="RR58" s="45"/>
      <c r="RS58" s="45"/>
      <c r="RT58" s="45"/>
      <c r="RU58" s="45"/>
      <c r="RV58" s="45"/>
      <c r="RW58" s="45"/>
      <c r="RZ58" s="45"/>
      <c r="SA58" s="45"/>
      <c r="SB58" s="45"/>
      <c r="SC58" s="45"/>
      <c r="SD58" s="45"/>
      <c r="SE58" s="45"/>
      <c r="SF58" s="45"/>
      <c r="SG58" s="45"/>
      <c r="SH58" s="45"/>
      <c r="SI58" s="45"/>
      <c r="SJ58" s="45"/>
      <c r="SM58" s="45"/>
      <c r="SN58" s="45"/>
      <c r="SO58" s="45"/>
      <c r="SP58" s="45"/>
      <c r="SQ58" s="45"/>
      <c r="SR58" s="45"/>
      <c r="SS58" s="45"/>
      <c r="ST58" s="45"/>
      <c r="SU58" s="45"/>
      <c r="SV58" s="45"/>
      <c r="SW58" s="45"/>
      <c r="SZ58" s="45"/>
      <c r="TA58" s="45"/>
      <c r="TB58" s="45"/>
      <c r="TC58" s="45"/>
      <c r="TD58" s="45"/>
      <c r="TE58" s="45"/>
      <c r="TF58" s="45"/>
      <c r="TG58" s="45"/>
      <c r="TH58" s="45"/>
      <c r="TI58" s="45"/>
      <c r="TJ58" s="45"/>
      <c r="TM58" s="45"/>
      <c r="TN58" s="45"/>
      <c r="TO58" s="45"/>
      <c r="TP58" s="45"/>
      <c r="TQ58" s="45"/>
      <c r="TR58" s="45"/>
      <c r="TS58" s="45"/>
      <c r="TT58" s="45"/>
      <c r="TU58" s="45"/>
      <c r="TV58" s="45"/>
      <c r="TW58" s="45"/>
      <c r="TZ58" s="45"/>
      <c r="UA58" s="45"/>
      <c r="UB58" s="45"/>
      <c r="UC58" s="45"/>
      <c r="UD58" s="45"/>
      <c r="UE58" s="45"/>
      <c r="UF58" s="45"/>
      <c r="UG58" s="45"/>
      <c r="UH58" s="45"/>
      <c r="UI58" s="45"/>
      <c r="UJ58" s="45"/>
      <c r="UM58" s="45"/>
      <c r="UN58" s="45"/>
      <c r="UO58" s="45"/>
      <c r="UP58" s="45"/>
      <c r="UQ58" s="45"/>
      <c r="UR58" s="45"/>
      <c r="US58" s="45"/>
      <c r="UT58" s="45"/>
      <c r="UU58" s="45"/>
      <c r="UV58" s="45"/>
      <c r="UW58" s="45"/>
      <c r="UZ58" s="45"/>
      <c r="VA58" s="45"/>
      <c r="VB58" s="45"/>
      <c r="VC58" s="45"/>
      <c r="VD58" s="45"/>
      <c r="VE58" s="45"/>
      <c r="VF58" s="45"/>
      <c r="VG58" s="45"/>
      <c r="VH58" s="45"/>
      <c r="VI58" s="45"/>
      <c r="VJ58" s="45"/>
      <c r="VM58" s="45"/>
      <c r="VN58" s="45"/>
      <c r="VO58" s="45"/>
      <c r="VP58" s="45"/>
      <c r="VQ58" s="45"/>
      <c r="VR58" s="45"/>
      <c r="VS58" s="45"/>
      <c r="VT58" s="45"/>
      <c r="VU58" s="45"/>
      <c r="VV58" s="45"/>
      <c r="VW58" s="45"/>
      <c r="VZ58" s="45"/>
      <c r="WA58" s="45"/>
      <c r="WB58" s="45"/>
      <c r="WC58" s="45"/>
      <c r="WD58" s="45"/>
      <c r="WE58" s="45"/>
      <c r="WF58" s="45"/>
      <c r="WG58" s="45"/>
      <c r="WH58" s="45"/>
      <c r="WI58" s="45"/>
      <c r="WJ58" s="45"/>
      <c r="WM58" s="45"/>
      <c r="WN58" s="45"/>
      <c r="WO58" s="45"/>
      <c r="WP58" s="45"/>
      <c r="WQ58" s="45"/>
      <c r="WR58" s="45"/>
      <c r="WS58" s="45"/>
      <c r="WT58" s="45"/>
      <c r="WU58" s="45"/>
      <c r="WV58" s="45"/>
      <c r="WW58" s="45"/>
      <c r="WZ58" s="45"/>
      <c r="XA58" s="45"/>
      <c r="XB58" s="45"/>
      <c r="XC58" s="45"/>
      <c r="XD58" s="45"/>
      <c r="XE58" s="45"/>
      <c r="XF58" s="45"/>
      <c r="XG58" s="45"/>
      <c r="XH58" s="45"/>
      <c r="XI58" s="45"/>
      <c r="XJ58" s="45"/>
      <c r="XM58" s="45"/>
      <c r="XN58" s="45"/>
      <c r="XO58" s="45"/>
      <c r="XP58" s="45"/>
      <c r="XQ58" s="45"/>
      <c r="XR58" s="45"/>
      <c r="XS58" s="45"/>
      <c r="XT58" s="45"/>
      <c r="XU58" s="45"/>
      <c r="XV58" s="45"/>
      <c r="XW58" s="45"/>
      <c r="XZ58" s="45"/>
      <c r="YA58" s="45"/>
      <c r="YB58" s="45"/>
      <c r="YC58" s="45"/>
      <c r="YD58" s="45"/>
      <c r="YE58" s="45"/>
      <c r="YF58" s="45"/>
      <c r="YG58" s="45"/>
      <c r="YH58" s="45"/>
      <c r="YI58" s="45"/>
      <c r="YJ58" s="45"/>
    </row>
    <row r="59" spans="1:660">
      <c r="B59" s="45"/>
      <c r="C59" s="45"/>
      <c r="D59" s="45"/>
      <c r="E59" s="45"/>
      <c r="F59" s="168"/>
      <c r="G59" s="45"/>
      <c r="H59" s="45"/>
      <c r="I59" s="45"/>
      <c r="J59" s="45"/>
      <c r="K59" s="45"/>
      <c r="L59" s="45"/>
      <c r="P59" s="45"/>
      <c r="Q59" s="45"/>
      <c r="R59" s="45"/>
      <c r="S59" s="45"/>
      <c r="T59" s="168"/>
      <c r="U59" s="45"/>
      <c r="V59" s="45"/>
      <c r="W59" s="45"/>
      <c r="X59" s="45"/>
      <c r="Y59" s="45"/>
      <c r="Z59" s="45"/>
      <c r="AD59" s="45"/>
      <c r="AE59" s="45"/>
      <c r="AF59" s="45"/>
      <c r="AG59" s="45"/>
      <c r="AH59" s="168"/>
      <c r="AI59" s="45"/>
      <c r="AJ59" s="45"/>
      <c r="AK59" s="45"/>
      <c r="AL59" s="45"/>
      <c r="AM59" s="45"/>
      <c r="AN59" s="45"/>
      <c r="AR59" s="45"/>
      <c r="AS59" s="45"/>
      <c r="AT59" s="45"/>
      <c r="AU59" s="45"/>
      <c r="AV59" s="168"/>
      <c r="AW59" s="45"/>
      <c r="AX59" s="45"/>
      <c r="AY59" s="45"/>
      <c r="AZ59" s="45"/>
      <c r="BA59" s="45"/>
      <c r="BB59" s="45"/>
      <c r="BF59" s="45"/>
      <c r="BG59" s="45"/>
      <c r="BH59" s="45"/>
      <c r="BI59" s="45"/>
      <c r="BJ59" s="168"/>
      <c r="BK59" s="45"/>
      <c r="BL59" s="45"/>
      <c r="BM59" s="45"/>
      <c r="BN59" s="45"/>
      <c r="BO59" s="45"/>
      <c r="BP59" s="45"/>
      <c r="BT59" s="45"/>
      <c r="BU59" s="45"/>
      <c r="BV59" s="45"/>
      <c r="BW59" s="45"/>
      <c r="BX59" s="168"/>
      <c r="BY59" s="45"/>
      <c r="BZ59" s="45"/>
      <c r="CA59" s="45"/>
      <c r="CB59" s="45"/>
      <c r="CC59" s="45"/>
      <c r="CD59" s="45"/>
      <c r="CH59" s="45"/>
      <c r="CI59" s="45"/>
      <c r="CJ59" s="45"/>
      <c r="CK59" s="45"/>
      <c r="CL59" s="168"/>
      <c r="CM59" s="45"/>
      <c r="CN59" s="45"/>
      <c r="CO59" s="45"/>
      <c r="CP59" s="45"/>
      <c r="CQ59" s="45"/>
      <c r="CR59" s="45"/>
      <c r="CV59" s="45"/>
      <c r="CW59" s="45"/>
      <c r="CX59" s="45"/>
      <c r="CY59" s="45"/>
      <c r="CZ59" s="168"/>
      <c r="DA59" s="45"/>
      <c r="DB59" s="45"/>
      <c r="DC59" s="45"/>
      <c r="DD59" s="45"/>
      <c r="DE59" s="45"/>
      <c r="DF59" s="45"/>
      <c r="DJ59" s="45"/>
      <c r="DK59" s="45"/>
      <c r="DL59" s="45"/>
      <c r="DM59" s="45"/>
      <c r="DN59" s="168"/>
      <c r="DO59" s="45"/>
      <c r="DP59" s="45"/>
      <c r="DQ59" s="45"/>
      <c r="DR59" s="45"/>
      <c r="DS59" s="45"/>
      <c r="DT59" s="45"/>
      <c r="DX59" s="45"/>
      <c r="DY59" s="45"/>
      <c r="DZ59" s="45"/>
      <c r="EA59" s="45"/>
      <c r="EB59" s="168"/>
      <c r="EC59" s="45"/>
      <c r="ED59" s="45"/>
      <c r="EE59" s="45"/>
      <c r="EF59" s="45"/>
      <c r="EG59" s="45"/>
      <c r="EH59" s="45"/>
      <c r="EL59" s="45"/>
      <c r="EM59" s="45"/>
      <c r="EN59" s="45"/>
      <c r="EO59" s="45"/>
      <c r="EP59" s="168"/>
      <c r="EQ59" s="45"/>
      <c r="ER59" s="45"/>
      <c r="ES59" s="45"/>
      <c r="ET59" s="45"/>
      <c r="EU59" s="45"/>
      <c r="EV59" s="45"/>
      <c r="EZ59" s="45"/>
      <c r="FA59" s="45"/>
      <c r="FB59" s="45"/>
      <c r="FC59" s="45"/>
      <c r="FD59" s="168"/>
      <c r="FE59" s="45"/>
      <c r="FF59" s="45"/>
      <c r="FG59" s="45"/>
      <c r="FH59" s="45"/>
      <c r="FI59" s="45"/>
      <c r="FJ59" s="45"/>
      <c r="FN59" s="45"/>
      <c r="FO59" s="45"/>
      <c r="FP59" s="45"/>
      <c r="FQ59" s="45"/>
      <c r="FR59" s="168"/>
      <c r="FS59" s="45"/>
      <c r="FT59" s="45"/>
      <c r="FU59" s="45"/>
      <c r="FV59" s="45"/>
      <c r="FW59" s="45"/>
      <c r="FX59" s="45"/>
      <c r="GB59" s="45"/>
      <c r="GC59" s="45"/>
      <c r="GD59" s="45"/>
      <c r="GE59" s="45"/>
      <c r="GF59" s="168"/>
      <c r="GG59" s="45"/>
      <c r="GH59" s="45"/>
      <c r="GI59" s="45"/>
      <c r="GJ59" s="45"/>
      <c r="GK59" s="45"/>
      <c r="GL59" s="45"/>
      <c r="GP59" s="45"/>
      <c r="GQ59" s="45"/>
      <c r="GR59" s="45"/>
      <c r="GS59" s="45"/>
      <c r="GT59" s="168"/>
      <c r="GU59" s="45"/>
      <c r="GV59" s="45"/>
      <c r="GW59" s="45"/>
      <c r="GX59" s="45"/>
      <c r="GY59" s="45"/>
      <c r="GZ59" s="45"/>
      <c r="HD59" s="45"/>
      <c r="HE59" s="45"/>
      <c r="HF59" s="45"/>
      <c r="HG59" s="45"/>
      <c r="HH59" s="168"/>
      <c r="HI59" s="45"/>
      <c r="HJ59" s="45"/>
      <c r="HK59" s="45"/>
      <c r="HL59" s="45"/>
      <c r="HM59" s="45"/>
      <c r="HN59" s="45"/>
      <c r="HR59" s="45"/>
      <c r="HS59" s="45"/>
      <c r="HT59" s="45"/>
      <c r="HU59" s="45"/>
      <c r="HV59" s="168"/>
      <c r="HW59" s="45"/>
      <c r="HX59" s="45"/>
      <c r="HY59" s="45"/>
      <c r="HZ59" s="45"/>
      <c r="IA59" s="45"/>
      <c r="IB59" s="45"/>
      <c r="IF59" s="45"/>
      <c r="IG59" s="45"/>
      <c r="IH59" s="45"/>
      <c r="II59" s="45"/>
      <c r="IJ59" s="168"/>
      <c r="IK59" s="45"/>
      <c r="IL59" s="45"/>
      <c r="IM59" s="45"/>
      <c r="IN59" s="45"/>
      <c r="IO59" s="45"/>
      <c r="IP59" s="45"/>
      <c r="IT59" s="45"/>
      <c r="IU59" s="45"/>
      <c r="IV59" s="45"/>
      <c r="IW59" s="45"/>
      <c r="IX59" s="168"/>
      <c r="IY59" s="45"/>
      <c r="IZ59" s="45"/>
      <c r="JA59" s="45"/>
      <c r="JB59" s="45"/>
      <c r="JC59" s="45"/>
      <c r="JD59" s="45"/>
      <c r="JH59" s="45"/>
      <c r="JI59" s="45"/>
      <c r="JJ59" s="45"/>
      <c r="JK59" s="45"/>
      <c r="JL59" s="168"/>
      <c r="JM59" s="45"/>
      <c r="JN59" s="45"/>
      <c r="JO59" s="45"/>
      <c r="JP59" s="45"/>
      <c r="JQ59" s="45"/>
      <c r="JR59" s="45"/>
      <c r="JV59" s="45"/>
      <c r="JW59" s="45"/>
      <c r="JX59" s="45"/>
      <c r="JY59" s="45"/>
      <c r="JZ59" s="168"/>
      <c r="KA59" s="45"/>
      <c r="KB59" s="45"/>
      <c r="KC59" s="45"/>
      <c r="KD59" s="45"/>
      <c r="KE59" s="45"/>
      <c r="KF59" s="45"/>
      <c r="KJ59" s="45"/>
      <c r="KK59" s="45"/>
      <c r="KL59" s="45"/>
      <c r="KM59" s="45"/>
      <c r="KN59" s="168"/>
      <c r="KO59" s="45"/>
      <c r="KP59" s="45"/>
      <c r="KQ59" s="45"/>
      <c r="KR59" s="45"/>
      <c r="KS59" s="45"/>
      <c r="KT59" s="45"/>
      <c r="KX59" s="45"/>
      <c r="KY59" s="45"/>
      <c r="KZ59" s="45"/>
      <c r="LA59" s="45"/>
      <c r="LB59" s="45"/>
      <c r="LC59" s="45"/>
      <c r="LD59" s="45"/>
      <c r="LE59" s="45"/>
      <c r="LF59" s="45"/>
      <c r="LG59" s="45"/>
      <c r="LH59" s="45"/>
      <c r="LK59" s="45"/>
      <c r="LL59" s="45"/>
      <c r="LM59" s="45"/>
      <c r="LN59" s="45"/>
      <c r="LO59" s="45"/>
      <c r="LP59" s="45"/>
      <c r="LQ59" s="45"/>
      <c r="LR59" s="45"/>
      <c r="LS59" s="45"/>
      <c r="LT59" s="45"/>
      <c r="LU59" s="45"/>
      <c r="LV59" s="45"/>
      <c r="LX59" s="45"/>
      <c r="LY59" s="45"/>
      <c r="LZ59" s="45"/>
      <c r="MA59" s="45"/>
      <c r="MB59" s="168"/>
      <c r="MC59" s="45"/>
      <c r="MD59" s="45"/>
      <c r="ME59" s="45"/>
      <c r="MF59" s="45"/>
      <c r="MG59" s="45"/>
      <c r="MH59" s="45"/>
      <c r="ML59" s="45"/>
      <c r="MM59" s="45"/>
      <c r="MN59" s="45"/>
      <c r="MO59" s="45"/>
      <c r="MP59" s="168"/>
      <c r="MQ59" s="45"/>
      <c r="MR59" s="45"/>
      <c r="MS59" s="45"/>
      <c r="MT59" s="45"/>
      <c r="MU59" s="45"/>
      <c r="MV59" s="45"/>
      <c r="MZ59" s="45"/>
      <c r="NA59" s="45"/>
      <c r="NB59" s="45"/>
      <c r="NC59" s="45"/>
      <c r="ND59" s="45"/>
      <c r="NE59" s="45"/>
      <c r="NF59" s="45"/>
      <c r="NG59" s="45"/>
      <c r="NH59" s="45"/>
      <c r="NI59" s="45"/>
      <c r="NJ59" s="45"/>
      <c r="NM59" s="45"/>
      <c r="NN59" s="45"/>
      <c r="NO59" s="45"/>
      <c r="NP59" s="45"/>
      <c r="NQ59" s="45"/>
      <c r="NR59" s="45"/>
      <c r="NS59" s="45"/>
      <c r="NT59" s="45"/>
      <c r="NU59" s="45"/>
      <c r="NV59" s="45"/>
      <c r="NW59" s="45"/>
      <c r="NZ59" s="45"/>
      <c r="OA59" s="45"/>
      <c r="OB59" s="45"/>
      <c r="OC59" s="45"/>
      <c r="OD59" s="45"/>
      <c r="OE59" s="45"/>
      <c r="OF59" s="45"/>
      <c r="OG59" s="45"/>
      <c r="OH59" s="45"/>
      <c r="OI59" s="45"/>
      <c r="OJ59" s="45"/>
      <c r="OM59" s="45"/>
      <c r="ON59" s="45"/>
      <c r="OO59" s="45"/>
      <c r="OP59" s="45"/>
      <c r="OQ59" s="45"/>
      <c r="OR59" s="45"/>
      <c r="OS59" s="45"/>
      <c r="OT59" s="45"/>
      <c r="OU59" s="45"/>
      <c r="OV59" s="45"/>
      <c r="OW59" s="45"/>
      <c r="OZ59" s="45"/>
      <c r="PA59" s="45"/>
      <c r="PB59" s="45"/>
      <c r="PC59" s="45"/>
      <c r="PD59" s="45"/>
      <c r="PE59" s="45"/>
      <c r="PF59" s="45"/>
      <c r="PG59" s="45"/>
      <c r="PH59" s="45"/>
      <c r="PI59" s="45"/>
      <c r="PJ59" s="45"/>
      <c r="PM59" s="45"/>
      <c r="PN59" s="45"/>
      <c r="PO59" s="45"/>
      <c r="PP59" s="45"/>
      <c r="PQ59" s="45"/>
      <c r="PR59" s="45"/>
      <c r="PS59" s="45"/>
      <c r="PT59" s="45"/>
      <c r="PU59" s="45"/>
      <c r="PV59" s="45"/>
      <c r="PW59" s="45"/>
      <c r="PZ59" s="45"/>
      <c r="QA59" s="45"/>
      <c r="QB59" s="45"/>
      <c r="QC59" s="45"/>
      <c r="QD59" s="45"/>
      <c r="QE59" s="45"/>
      <c r="QF59" s="45"/>
      <c r="QG59" s="45"/>
      <c r="QH59" s="45"/>
      <c r="QI59" s="45"/>
      <c r="QJ59" s="45"/>
      <c r="QM59" s="45"/>
      <c r="QN59" s="45"/>
      <c r="QO59" s="45"/>
      <c r="QP59" s="45"/>
      <c r="QQ59" s="45"/>
      <c r="QR59" s="45"/>
      <c r="QS59" s="45"/>
      <c r="QT59" s="45"/>
      <c r="QU59" s="45"/>
      <c r="QV59" s="45"/>
      <c r="QW59" s="45"/>
      <c r="QZ59" s="45"/>
      <c r="RA59" s="45"/>
      <c r="RB59" s="45"/>
      <c r="RC59" s="45"/>
      <c r="RD59" s="45"/>
      <c r="RE59" s="45"/>
      <c r="RF59" s="45"/>
      <c r="RG59" s="45"/>
      <c r="RH59" s="45"/>
      <c r="RI59" s="45"/>
      <c r="RJ59" s="45"/>
      <c r="RM59" s="45"/>
      <c r="RN59" s="45"/>
      <c r="RO59" s="45"/>
      <c r="RP59" s="45"/>
      <c r="RQ59" s="45"/>
      <c r="RR59" s="45"/>
      <c r="RS59" s="45"/>
      <c r="RT59" s="45"/>
      <c r="RU59" s="45"/>
      <c r="RV59" s="45"/>
      <c r="RW59" s="45"/>
      <c r="RZ59" s="45"/>
      <c r="SA59" s="45"/>
      <c r="SB59" s="45"/>
      <c r="SC59" s="45"/>
      <c r="SD59" s="45"/>
      <c r="SE59" s="45"/>
      <c r="SF59" s="45"/>
      <c r="SG59" s="45"/>
      <c r="SH59" s="45"/>
      <c r="SI59" s="45"/>
      <c r="SJ59" s="45"/>
      <c r="SM59" s="45"/>
      <c r="SN59" s="45"/>
      <c r="SO59" s="45"/>
      <c r="SP59" s="45"/>
      <c r="SQ59" s="45"/>
      <c r="SR59" s="45"/>
      <c r="SS59" s="45"/>
      <c r="ST59" s="45"/>
      <c r="SU59" s="45"/>
      <c r="SV59" s="45"/>
      <c r="SW59" s="45"/>
      <c r="SZ59" s="45"/>
      <c r="TA59" s="45"/>
      <c r="TB59" s="45"/>
      <c r="TC59" s="45"/>
      <c r="TD59" s="45"/>
      <c r="TE59" s="45"/>
      <c r="TF59" s="45"/>
      <c r="TG59" s="45"/>
      <c r="TH59" s="45"/>
      <c r="TI59" s="45"/>
      <c r="TJ59" s="45"/>
      <c r="TM59" s="45"/>
      <c r="TN59" s="45"/>
      <c r="TO59" s="45"/>
      <c r="TP59" s="45"/>
      <c r="TQ59" s="45"/>
      <c r="TR59" s="45"/>
      <c r="TS59" s="45"/>
      <c r="TT59" s="45"/>
      <c r="TU59" s="45"/>
      <c r="TV59" s="45"/>
      <c r="TW59" s="45"/>
      <c r="TZ59" s="45"/>
      <c r="UA59" s="45"/>
      <c r="UB59" s="45"/>
      <c r="UC59" s="45"/>
      <c r="UD59" s="45"/>
      <c r="UE59" s="45"/>
      <c r="UF59" s="45"/>
      <c r="UG59" s="45"/>
      <c r="UH59" s="45"/>
      <c r="UI59" s="45"/>
      <c r="UJ59" s="45"/>
      <c r="UM59" s="45"/>
      <c r="UN59" s="45"/>
      <c r="UO59" s="45"/>
      <c r="UP59" s="45"/>
      <c r="UQ59" s="45"/>
      <c r="UR59" s="45"/>
      <c r="US59" s="45"/>
      <c r="UT59" s="45"/>
      <c r="UU59" s="45"/>
      <c r="UV59" s="45"/>
      <c r="UW59" s="45"/>
      <c r="UZ59" s="45"/>
      <c r="VA59" s="45"/>
      <c r="VB59" s="45"/>
      <c r="VC59" s="45"/>
      <c r="VD59" s="45"/>
      <c r="VE59" s="45"/>
      <c r="VF59" s="45"/>
      <c r="VG59" s="45"/>
      <c r="VH59" s="45"/>
      <c r="VI59" s="45"/>
      <c r="VJ59" s="45"/>
      <c r="VM59" s="45"/>
      <c r="VN59" s="45"/>
      <c r="VO59" s="45"/>
      <c r="VP59" s="45"/>
      <c r="VQ59" s="45"/>
      <c r="VR59" s="45"/>
      <c r="VS59" s="45"/>
      <c r="VT59" s="45"/>
      <c r="VU59" s="45"/>
      <c r="VV59" s="45"/>
      <c r="VW59" s="45"/>
      <c r="VZ59" s="45"/>
      <c r="WA59" s="45"/>
      <c r="WB59" s="45"/>
      <c r="WC59" s="45"/>
      <c r="WD59" s="45"/>
      <c r="WE59" s="45"/>
      <c r="WF59" s="45"/>
      <c r="WG59" s="45"/>
      <c r="WH59" s="45"/>
      <c r="WI59" s="45"/>
      <c r="WJ59" s="45"/>
      <c r="WM59" s="45"/>
      <c r="WN59" s="45"/>
      <c r="WO59" s="45"/>
      <c r="WP59" s="45"/>
      <c r="WQ59" s="45"/>
      <c r="WR59" s="45"/>
      <c r="WS59" s="45"/>
      <c r="WT59" s="45"/>
      <c r="WU59" s="45"/>
      <c r="WV59" s="45"/>
      <c r="WW59" s="45"/>
      <c r="WZ59" s="45"/>
      <c r="XA59" s="45"/>
      <c r="XB59" s="45"/>
      <c r="XC59" s="45"/>
      <c r="XD59" s="45"/>
      <c r="XE59" s="45"/>
      <c r="XF59" s="45"/>
      <c r="XG59" s="45"/>
      <c r="XH59" s="45"/>
      <c r="XI59" s="45"/>
      <c r="XJ59" s="45"/>
      <c r="XM59" s="45"/>
      <c r="XN59" s="45"/>
      <c r="XO59" s="45"/>
      <c r="XP59" s="45"/>
      <c r="XQ59" s="45"/>
      <c r="XR59" s="45"/>
      <c r="XS59" s="45"/>
      <c r="XT59" s="45"/>
      <c r="XU59" s="45"/>
      <c r="XV59" s="45"/>
      <c r="XW59" s="45"/>
      <c r="XZ59" s="45"/>
      <c r="YA59" s="45"/>
      <c r="YB59" s="45"/>
      <c r="YC59" s="45"/>
      <c r="YD59" s="45"/>
      <c r="YE59" s="45"/>
      <c r="YF59" s="45"/>
      <c r="YG59" s="45"/>
      <c r="YH59" s="45"/>
      <c r="YI59" s="45"/>
      <c r="YJ59" s="45"/>
    </row>
    <row r="60" spans="1:660">
      <c r="B60" s="45"/>
      <c r="C60" s="45"/>
      <c r="D60" s="45"/>
      <c r="E60" s="45"/>
      <c r="F60" s="168"/>
      <c r="G60" s="45"/>
      <c r="H60" s="45"/>
      <c r="I60" s="45"/>
      <c r="J60" s="45"/>
      <c r="K60" s="45"/>
      <c r="L60" s="45"/>
      <c r="P60" s="45"/>
      <c r="Q60" s="45"/>
      <c r="R60" s="45"/>
      <c r="S60" s="45"/>
      <c r="T60" s="168"/>
      <c r="U60" s="45"/>
      <c r="V60" s="45"/>
      <c r="W60" s="45"/>
      <c r="X60" s="45"/>
      <c r="Y60" s="45"/>
      <c r="Z60" s="45"/>
      <c r="AD60" s="45"/>
      <c r="AE60" s="45"/>
      <c r="AF60" s="45"/>
      <c r="AG60" s="45"/>
      <c r="AH60" s="168"/>
      <c r="AI60" s="45"/>
      <c r="AJ60" s="45"/>
      <c r="AK60" s="45"/>
      <c r="AL60" s="45"/>
      <c r="AM60" s="45"/>
      <c r="AN60" s="45"/>
      <c r="AR60" s="45"/>
      <c r="AS60" s="45"/>
      <c r="AT60" s="45"/>
      <c r="AU60" s="45"/>
      <c r="AV60" s="168"/>
      <c r="AW60" s="45"/>
      <c r="AX60" s="45"/>
      <c r="AY60" s="45"/>
      <c r="AZ60" s="45"/>
      <c r="BA60" s="45"/>
      <c r="BB60" s="45"/>
      <c r="BF60" s="45"/>
      <c r="BG60" s="45"/>
      <c r="BH60" s="45"/>
      <c r="BI60" s="45"/>
      <c r="BJ60" s="168"/>
      <c r="BK60" s="45"/>
      <c r="BL60" s="45"/>
      <c r="BM60" s="45"/>
      <c r="BN60" s="45"/>
      <c r="BO60" s="45"/>
      <c r="BP60" s="45"/>
      <c r="BT60" s="45"/>
      <c r="BU60" s="45"/>
      <c r="BV60" s="45"/>
      <c r="BW60" s="45"/>
      <c r="BX60" s="168"/>
      <c r="BY60" s="45"/>
      <c r="BZ60" s="45"/>
      <c r="CA60" s="45"/>
      <c r="CB60" s="45"/>
      <c r="CC60" s="45"/>
      <c r="CD60" s="45"/>
      <c r="CH60" s="45"/>
      <c r="CI60" s="45"/>
      <c r="CJ60" s="45"/>
      <c r="CK60" s="45"/>
      <c r="CL60" s="168"/>
      <c r="CM60" s="45"/>
      <c r="CN60" s="45"/>
      <c r="CO60" s="45"/>
      <c r="CP60" s="45"/>
      <c r="CQ60" s="45"/>
      <c r="CR60" s="45"/>
      <c r="CV60" s="45"/>
      <c r="CW60" s="45"/>
      <c r="CX60" s="45"/>
      <c r="CY60" s="45"/>
      <c r="CZ60" s="168"/>
      <c r="DA60" s="45"/>
      <c r="DB60" s="45"/>
      <c r="DC60" s="45"/>
      <c r="DD60" s="45"/>
      <c r="DE60" s="45"/>
      <c r="DF60" s="45"/>
      <c r="DJ60" s="45"/>
      <c r="DK60" s="45"/>
      <c r="DL60" s="45"/>
      <c r="DM60" s="45"/>
      <c r="DN60" s="168"/>
      <c r="DO60" s="45"/>
      <c r="DP60" s="45"/>
      <c r="DQ60" s="45"/>
      <c r="DR60" s="45"/>
      <c r="DS60" s="45"/>
      <c r="DT60" s="45"/>
      <c r="DX60" s="45"/>
      <c r="DY60" s="45"/>
      <c r="DZ60" s="45"/>
      <c r="EA60" s="45"/>
      <c r="EB60" s="168"/>
      <c r="EC60" s="45"/>
      <c r="ED60" s="45"/>
      <c r="EE60" s="45"/>
      <c r="EF60" s="45"/>
      <c r="EG60" s="45"/>
      <c r="EH60" s="45"/>
      <c r="EL60" s="45"/>
      <c r="EM60" s="45"/>
      <c r="EN60" s="45"/>
      <c r="EO60" s="45"/>
      <c r="EP60" s="168"/>
      <c r="EQ60" s="45"/>
      <c r="ER60" s="45"/>
      <c r="ES60" s="45"/>
      <c r="ET60" s="45"/>
      <c r="EU60" s="45"/>
      <c r="EV60" s="45"/>
      <c r="EZ60" s="45"/>
      <c r="FA60" s="45"/>
      <c r="FB60" s="45"/>
      <c r="FC60" s="45"/>
      <c r="FD60" s="168"/>
      <c r="FE60" s="45"/>
      <c r="FF60" s="45"/>
      <c r="FG60" s="45"/>
      <c r="FH60" s="45"/>
      <c r="FI60" s="45"/>
      <c r="FJ60" s="45"/>
      <c r="FN60" s="45"/>
      <c r="FO60" s="45"/>
      <c r="FP60" s="45"/>
      <c r="FQ60" s="45"/>
      <c r="FR60" s="168"/>
      <c r="FS60" s="45"/>
      <c r="FT60" s="45"/>
      <c r="FU60" s="45"/>
      <c r="FV60" s="45"/>
      <c r="FW60" s="45"/>
      <c r="FX60" s="45"/>
      <c r="GB60" s="45"/>
      <c r="GC60" s="45"/>
      <c r="GD60" s="45"/>
      <c r="GE60" s="45"/>
      <c r="GF60" s="168"/>
      <c r="GG60" s="45"/>
      <c r="GH60" s="45"/>
      <c r="GI60" s="45"/>
      <c r="GJ60" s="45"/>
      <c r="GK60" s="45"/>
      <c r="GL60" s="45"/>
      <c r="GP60" s="45"/>
      <c r="GQ60" s="45"/>
      <c r="GR60" s="45"/>
      <c r="GS60" s="45"/>
      <c r="GT60" s="168"/>
      <c r="GU60" s="45"/>
      <c r="GV60" s="45"/>
      <c r="GW60" s="45"/>
      <c r="GX60" s="45"/>
      <c r="GY60" s="45"/>
      <c r="GZ60" s="45"/>
      <c r="HD60" s="45"/>
      <c r="HE60" s="45"/>
      <c r="HF60" s="45"/>
      <c r="HG60" s="45"/>
      <c r="HH60" s="168"/>
      <c r="HI60" s="45"/>
      <c r="HJ60" s="45"/>
      <c r="HK60" s="45"/>
      <c r="HL60" s="45"/>
      <c r="HM60" s="45"/>
      <c r="HN60" s="45"/>
      <c r="HR60" s="45"/>
      <c r="HS60" s="45"/>
      <c r="HT60" s="45"/>
      <c r="HU60" s="45"/>
      <c r="HV60" s="168"/>
      <c r="HW60" s="45"/>
      <c r="HX60" s="45"/>
      <c r="HY60" s="45"/>
      <c r="HZ60" s="45"/>
      <c r="IA60" s="45"/>
      <c r="IB60" s="45"/>
      <c r="IF60" s="45"/>
      <c r="IG60" s="45"/>
      <c r="IH60" s="45"/>
      <c r="II60" s="45"/>
      <c r="IJ60" s="168"/>
      <c r="IK60" s="45"/>
      <c r="IL60" s="45"/>
      <c r="IM60" s="45"/>
      <c r="IN60" s="45"/>
      <c r="IO60" s="45"/>
      <c r="IP60" s="45"/>
      <c r="IT60" s="45"/>
      <c r="IU60" s="45"/>
      <c r="IV60" s="45"/>
      <c r="IW60" s="45"/>
      <c r="IX60" s="168"/>
      <c r="IY60" s="45"/>
      <c r="IZ60" s="45"/>
      <c r="JA60" s="45"/>
      <c r="JB60" s="45"/>
      <c r="JC60" s="45"/>
      <c r="JD60" s="45"/>
      <c r="JH60" s="45"/>
      <c r="JI60" s="45"/>
      <c r="JJ60" s="45"/>
      <c r="JK60" s="45"/>
      <c r="JL60" s="168"/>
      <c r="JM60" s="45"/>
      <c r="JN60" s="45"/>
      <c r="JO60" s="45"/>
      <c r="JP60" s="45"/>
      <c r="JQ60" s="45"/>
      <c r="JR60" s="45"/>
      <c r="JV60" s="45"/>
      <c r="JW60" s="45"/>
      <c r="JX60" s="45"/>
      <c r="JY60" s="45"/>
      <c r="JZ60" s="168"/>
      <c r="KA60" s="45"/>
      <c r="KB60" s="45"/>
      <c r="KC60" s="45"/>
      <c r="KD60" s="45"/>
      <c r="KE60" s="45"/>
      <c r="KF60" s="45"/>
      <c r="KJ60" s="45"/>
      <c r="KK60" s="45"/>
      <c r="KL60" s="45"/>
      <c r="KM60" s="45"/>
      <c r="KN60" s="168"/>
      <c r="KO60" s="45"/>
      <c r="KP60" s="45"/>
      <c r="KQ60" s="45"/>
      <c r="KR60" s="45"/>
      <c r="KS60" s="45"/>
      <c r="KT60" s="45"/>
      <c r="KX60" s="45"/>
      <c r="KY60" s="45"/>
      <c r="KZ60" s="45"/>
      <c r="LA60" s="45"/>
      <c r="LB60" s="45"/>
      <c r="LC60" s="45"/>
      <c r="LD60" s="45"/>
      <c r="LE60" s="45"/>
      <c r="LF60" s="45"/>
      <c r="LG60" s="45"/>
      <c r="LH60" s="45"/>
      <c r="LK60" s="45"/>
      <c r="LL60" s="45"/>
      <c r="LM60" s="45"/>
      <c r="LN60" s="45"/>
      <c r="LO60" s="45"/>
      <c r="LP60" s="45"/>
      <c r="LQ60" s="45"/>
      <c r="LR60" s="45"/>
      <c r="LS60" s="45"/>
      <c r="LT60" s="45"/>
      <c r="LU60" s="45"/>
      <c r="LV60" s="45"/>
      <c r="LX60" s="45"/>
      <c r="LY60" s="45"/>
      <c r="LZ60" s="45"/>
      <c r="MA60" s="45"/>
      <c r="MB60" s="168"/>
      <c r="MC60" s="45"/>
      <c r="MD60" s="45"/>
      <c r="ME60" s="45"/>
      <c r="MF60" s="45"/>
      <c r="MG60" s="45"/>
      <c r="MH60" s="45"/>
      <c r="ML60" s="45"/>
      <c r="MM60" s="45"/>
      <c r="MN60" s="45"/>
      <c r="MO60" s="45"/>
      <c r="MP60" s="168"/>
      <c r="MQ60" s="45"/>
      <c r="MR60" s="45"/>
      <c r="MS60" s="45"/>
      <c r="MT60" s="45"/>
      <c r="MU60" s="45"/>
      <c r="MV60" s="45"/>
      <c r="MZ60" s="45"/>
      <c r="NA60" s="45"/>
      <c r="NB60" s="45"/>
      <c r="NC60" s="45"/>
      <c r="ND60" s="45"/>
      <c r="NE60" s="45"/>
      <c r="NF60" s="45"/>
      <c r="NG60" s="45"/>
      <c r="NH60" s="45"/>
      <c r="NI60" s="45"/>
      <c r="NJ60" s="45"/>
      <c r="NM60" s="45"/>
      <c r="NN60" s="45"/>
      <c r="NO60" s="45"/>
      <c r="NP60" s="45"/>
      <c r="NQ60" s="45"/>
      <c r="NR60" s="45"/>
      <c r="NS60" s="45"/>
      <c r="NT60" s="45"/>
      <c r="NU60" s="45"/>
      <c r="NV60" s="45"/>
      <c r="NW60" s="45"/>
      <c r="NZ60" s="45"/>
      <c r="OA60" s="45"/>
      <c r="OB60" s="45"/>
      <c r="OC60" s="45"/>
      <c r="OD60" s="45"/>
      <c r="OE60" s="45"/>
      <c r="OF60" s="45"/>
      <c r="OG60" s="45"/>
      <c r="OH60" s="45"/>
      <c r="OI60" s="45"/>
      <c r="OJ60" s="45"/>
      <c r="OM60" s="45"/>
      <c r="ON60" s="45"/>
      <c r="OO60" s="45"/>
      <c r="OP60" s="45"/>
      <c r="OQ60" s="45"/>
      <c r="OR60" s="45"/>
      <c r="OS60" s="45"/>
      <c r="OT60" s="45"/>
      <c r="OU60" s="45"/>
      <c r="OV60" s="45"/>
      <c r="OW60" s="45"/>
      <c r="OZ60" s="45"/>
      <c r="PA60" s="45"/>
      <c r="PB60" s="45"/>
      <c r="PC60" s="45"/>
      <c r="PD60" s="45"/>
      <c r="PE60" s="45"/>
      <c r="PF60" s="45"/>
      <c r="PG60" s="45"/>
      <c r="PH60" s="45"/>
      <c r="PI60" s="45"/>
      <c r="PJ60" s="45"/>
      <c r="PM60" s="45"/>
      <c r="PN60" s="45"/>
      <c r="PO60" s="45"/>
      <c r="PP60" s="45"/>
      <c r="PQ60" s="45"/>
      <c r="PR60" s="45"/>
      <c r="PS60" s="45"/>
      <c r="PT60" s="45"/>
      <c r="PU60" s="45"/>
      <c r="PV60" s="45"/>
      <c r="PW60" s="45"/>
      <c r="PZ60" s="45"/>
      <c r="QA60" s="45"/>
      <c r="QB60" s="45"/>
      <c r="QC60" s="45"/>
      <c r="QD60" s="45"/>
      <c r="QE60" s="45"/>
      <c r="QF60" s="45"/>
      <c r="QG60" s="45"/>
      <c r="QH60" s="45"/>
      <c r="QI60" s="45"/>
      <c r="QJ60" s="45"/>
      <c r="QM60" s="45"/>
      <c r="QN60" s="45"/>
      <c r="QO60" s="45"/>
      <c r="QP60" s="45"/>
      <c r="QQ60" s="45"/>
      <c r="QR60" s="45"/>
      <c r="QS60" s="45"/>
      <c r="QT60" s="45"/>
      <c r="QU60" s="45"/>
      <c r="QV60" s="45"/>
      <c r="QW60" s="45"/>
      <c r="QZ60" s="45"/>
      <c r="RA60" s="45"/>
      <c r="RB60" s="45"/>
      <c r="RC60" s="45"/>
      <c r="RD60" s="45"/>
      <c r="RE60" s="45"/>
      <c r="RF60" s="45"/>
      <c r="RG60" s="45"/>
      <c r="RH60" s="45"/>
      <c r="RI60" s="45"/>
      <c r="RJ60" s="45"/>
      <c r="RM60" s="45"/>
      <c r="RN60" s="45"/>
      <c r="RO60" s="45"/>
      <c r="RP60" s="45"/>
      <c r="RQ60" s="45"/>
      <c r="RR60" s="45"/>
      <c r="RS60" s="45"/>
      <c r="RT60" s="45"/>
      <c r="RU60" s="45"/>
      <c r="RV60" s="45"/>
      <c r="RW60" s="45"/>
      <c r="RZ60" s="45"/>
      <c r="SA60" s="45"/>
      <c r="SB60" s="45"/>
      <c r="SC60" s="45"/>
      <c r="SD60" s="45"/>
      <c r="SE60" s="45"/>
      <c r="SF60" s="45"/>
      <c r="SG60" s="45"/>
      <c r="SH60" s="45"/>
      <c r="SI60" s="45"/>
      <c r="SJ60" s="45"/>
      <c r="SM60" s="45"/>
      <c r="SN60" s="45"/>
      <c r="SO60" s="45"/>
      <c r="SP60" s="45"/>
      <c r="SQ60" s="45"/>
      <c r="SR60" s="45"/>
      <c r="SS60" s="45"/>
      <c r="ST60" s="45"/>
      <c r="SU60" s="45"/>
      <c r="SV60" s="45"/>
      <c r="SW60" s="45"/>
      <c r="SZ60" s="45"/>
      <c r="TA60" s="45"/>
      <c r="TB60" s="45"/>
      <c r="TC60" s="45"/>
      <c r="TD60" s="45"/>
      <c r="TE60" s="45"/>
      <c r="TF60" s="45"/>
      <c r="TG60" s="45"/>
      <c r="TH60" s="45"/>
      <c r="TI60" s="45"/>
      <c r="TJ60" s="45"/>
      <c r="TM60" s="45"/>
      <c r="TN60" s="45"/>
      <c r="TO60" s="45"/>
      <c r="TP60" s="45"/>
      <c r="TQ60" s="45"/>
      <c r="TR60" s="45"/>
      <c r="TS60" s="45"/>
      <c r="TT60" s="45"/>
      <c r="TU60" s="45"/>
      <c r="TV60" s="45"/>
      <c r="TW60" s="45"/>
      <c r="TZ60" s="45"/>
      <c r="UA60" s="45"/>
      <c r="UB60" s="45"/>
      <c r="UC60" s="45"/>
      <c r="UD60" s="45"/>
      <c r="UE60" s="45"/>
      <c r="UF60" s="45"/>
      <c r="UG60" s="45"/>
      <c r="UH60" s="45"/>
      <c r="UI60" s="45"/>
      <c r="UJ60" s="45"/>
      <c r="UM60" s="45"/>
      <c r="UN60" s="45"/>
      <c r="UO60" s="45"/>
      <c r="UP60" s="45"/>
      <c r="UQ60" s="45"/>
      <c r="UR60" s="45"/>
      <c r="US60" s="45"/>
      <c r="UT60" s="45"/>
      <c r="UU60" s="45"/>
      <c r="UV60" s="45"/>
      <c r="UW60" s="45"/>
      <c r="UZ60" s="45"/>
      <c r="VA60" s="45"/>
      <c r="VB60" s="45"/>
      <c r="VC60" s="45"/>
      <c r="VD60" s="45"/>
      <c r="VE60" s="45"/>
      <c r="VF60" s="45"/>
      <c r="VG60" s="45"/>
      <c r="VH60" s="45"/>
      <c r="VI60" s="45"/>
      <c r="VJ60" s="45"/>
      <c r="VM60" s="45"/>
      <c r="VN60" s="45"/>
      <c r="VO60" s="45"/>
      <c r="VP60" s="45"/>
      <c r="VQ60" s="45"/>
      <c r="VR60" s="45"/>
      <c r="VS60" s="45"/>
      <c r="VT60" s="45"/>
      <c r="VU60" s="45"/>
      <c r="VV60" s="45"/>
      <c r="VW60" s="45"/>
      <c r="VZ60" s="45"/>
      <c r="WA60" s="45"/>
      <c r="WB60" s="45"/>
      <c r="WC60" s="45"/>
      <c r="WD60" s="45"/>
      <c r="WE60" s="45"/>
      <c r="WF60" s="45"/>
      <c r="WG60" s="45"/>
      <c r="WH60" s="45"/>
      <c r="WI60" s="45"/>
      <c r="WJ60" s="45"/>
      <c r="WM60" s="45"/>
      <c r="WN60" s="45"/>
      <c r="WO60" s="45"/>
      <c r="WP60" s="45"/>
      <c r="WQ60" s="45"/>
      <c r="WR60" s="45"/>
      <c r="WS60" s="45"/>
      <c r="WT60" s="45"/>
      <c r="WU60" s="45"/>
      <c r="WV60" s="45"/>
      <c r="WW60" s="45"/>
      <c r="WZ60" s="45"/>
      <c r="XA60" s="45"/>
      <c r="XB60" s="45"/>
      <c r="XC60" s="45"/>
      <c r="XD60" s="45"/>
      <c r="XE60" s="45"/>
      <c r="XF60" s="45"/>
      <c r="XG60" s="45"/>
      <c r="XH60" s="45"/>
      <c r="XI60" s="45"/>
      <c r="XJ60" s="45"/>
      <c r="XM60" s="45"/>
      <c r="XN60" s="45"/>
      <c r="XO60" s="45"/>
      <c r="XP60" s="45"/>
      <c r="XQ60" s="45"/>
      <c r="XR60" s="45"/>
      <c r="XS60" s="45"/>
      <c r="XT60" s="45"/>
      <c r="XU60" s="45"/>
      <c r="XV60" s="45"/>
      <c r="XW60" s="45"/>
      <c r="XZ60" s="45"/>
      <c r="YA60" s="45"/>
      <c r="YB60" s="45"/>
      <c r="YC60" s="45"/>
      <c r="YD60" s="45"/>
      <c r="YE60" s="45"/>
      <c r="YF60" s="45"/>
      <c r="YG60" s="45"/>
      <c r="YH60" s="45"/>
      <c r="YI60" s="45"/>
      <c r="YJ60" s="45"/>
    </row>
    <row r="61" spans="1:660">
      <c r="B61" s="45"/>
      <c r="C61" s="45"/>
      <c r="D61" s="45"/>
      <c r="E61" s="45"/>
      <c r="F61" s="168"/>
      <c r="G61" s="45"/>
      <c r="H61" s="45"/>
      <c r="I61" s="45"/>
      <c r="J61" s="45"/>
      <c r="K61" s="45"/>
      <c r="L61" s="45"/>
      <c r="P61" s="45"/>
      <c r="Q61" s="45"/>
      <c r="R61" s="45"/>
      <c r="S61" s="45"/>
      <c r="T61" s="168"/>
      <c r="U61" s="45"/>
      <c r="V61" s="45"/>
      <c r="W61" s="45"/>
      <c r="X61" s="45"/>
      <c r="Y61" s="45"/>
      <c r="Z61" s="45"/>
      <c r="AD61" s="45"/>
      <c r="AE61" s="45"/>
      <c r="AF61" s="45"/>
      <c r="AG61" s="45"/>
      <c r="AH61" s="168"/>
      <c r="AI61" s="45"/>
      <c r="AJ61" s="45"/>
      <c r="AK61" s="45"/>
      <c r="AL61" s="45"/>
      <c r="AM61" s="45"/>
      <c r="AN61" s="45"/>
      <c r="AR61" s="45"/>
      <c r="AS61" s="45"/>
      <c r="AT61" s="45"/>
      <c r="AU61" s="45"/>
      <c r="AV61" s="168"/>
      <c r="AW61" s="45"/>
      <c r="AX61" s="45"/>
      <c r="AY61" s="45"/>
      <c r="AZ61" s="45"/>
      <c r="BA61" s="45"/>
      <c r="BB61" s="45"/>
      <c r="BF61" s="45"/>
      <c r="BG61" s="45"/>
      <c r="BH61" s="45"/>
      <c r="BI61" s="45"/>
      <c r="BJ61" s="168"/>
      <c r="BK61" s="45"/>
      <c r="BL61" s="45"/>
      <c r="BM61" s="45"/>
      <c r="BN61" s="45"/>
      <c r="BO61" s="45"/>
      <c r="BP61" s="45"/>
      <c r="BT61" s="45"/>
      <c r="BU61" s="45"/>
      <c r="BV61" s="45"/>
      <c r="BW61" s="45"/>
      <c r="BX61" s="168"/>
      <c r="BY61" s="45"/>
      <c r="BZ61" s="45"/>
      <c r="CA61" s="45"/>
      <c r="CB61" s="45"/>
      <c r="CC61" s="45"/>
      <c r="CD61" s="45"/>
      <c r="CH61" s="45"/>
      <c r="CI61" s="45"/>
      <c r="CJ61" s="45"/>
      <c r="CK61" s="45"/>
      <c r="CL61" s="168"/>
      <c r="CM61" s="45"/>
      <c r="CN61" s="45"/>
      <c r="CO61" s="45"/>
      <c r="CP61" s="45"/>
      <c r="CQ61" s="45"/>
      <c r="CR61" s="45"/>
      <c r="CV61" s="45"/>
      <c r="CW61" s="45"/>
      <c r="CX61" s="45"/>
      <c r="CY61" s="45"/>
      <c r="CZ61" s="168"/>
      <c r="DA61" s="45"/>
      <c r="DB61" s="45"/>
      <c r="DC61" s="45"/>
      <c r="DD61" s="45"/>
      <c r="DE61" s="45"/>
      <c r="DF61" s="45"/>
      <c r="DJ61" s="45"/>
      <c r="DK61" s="45"/>
      <c r="DL61" s="45"/>
      <c r="DM61" s="45"/>
      <c r="DN61" s="168"/>
      <c r="DO61" s="45"/>
      <c r="DP61" s="45"/>
      <c r="DQ61" s="45"/>
      <c r="DR61" s="45"/>
      <c r="DS61" s="45"/>
      <c r="DT61" s="45"/>
      <c r="DX61" s="45"/>
      <c r="DY61" s="45"/>
      <c r="DZ61" s="45"/>
      <c r="EA61" s="45"/>
      <c r="EB61" s="168"/>
      <c r="EC61" s="45"/>
      <c r="ED61" s="45"/>
      <c r="EE61" s="45"/>
      <c r="EF61" s="45"/>
      <c r="EG61" s="45"/>
      <c r="EH61" s="45"/>
      <c r="EL61" s="45"/>
      <c r="EM61" s="45"/>
      <c r="EN61" s="45"/>
      <c r="EO61" s="45"/>
      <c r="EP61" s="168"/>
      <c r="EQ61" s="45"/>
      <c r="ER61" s="45"/>
      <c r="ES61" s="45"/>
      <c r="ET61" s="45"/>
      <c r="EU61" s="45"/>
      <c r="EV61" s="45"/>
      <c r="EZ61" s="45"/>
      <c r="FA61" s="45"/>
      <c r="FB61" s="45"/>
      <c r="FC61" s="45"/>
      <c r="FD61" s="168"/>
      <c r="FE61" s="45"/>
      <c r="FF61" s="45"/>
      <c r="FG61" s="45"/>
      <c r="FH61" s="45"/>
      <c r="FI61" s="45"/>
      <c r="FJ61" s="45"/>
      <c r="FN61" s="45"/>
      <c r="FO61" s="45"/>
      <c r="FP61" s="45"/>
      <c r="FQ61" s="45"/>
      <c r="FR61" s="168"/>
      <c r="FS61" s="45"/>
      <c r="FT61" s="45"/>
      <c r="FU61" s="45"/>
      <c r="FV61" s="45"/>
      <c r="FW61" s="45"/>
      <c r="FX61" s="45"/>
      <c r="GB61" s="45"/>
      <c r="GC61" s="45"/>
      <c r="GD61" s="45"/>
      <c r="GE61" s="45"/>
      <c r="GF61" s="168"/>
      <c r="GG61" s="45"/>
      <c r="GH61" s="45"/>
      <c r="GI61" s="45"/>
      <c r="GJ61" s="45"/>
      <c r="GK61" s="45"/>
      <c r="GL61" s="45"/>
      <c r="GP61" s="45"/>
      <c r="GQ61" s="45"/>
      <c r="GR61" s="45"/>
      <c r="GS61" s="45"/>
      <c r="GT61" s="168"/>
      <c r="GU61" s="45"/>
      <c r="GV61" s="45"/>
      <c r="GW61" s="45"/>
      <c r="GX61" s="45"/>
      <c r="GY61" s="45"/>
      <c r="GZ61" s="45"/>
      <c r="HD61" s="45"/>
      <c r="HE61" s="45"/>
      <c r="HF61" s="45"/>
      <c r="HG61" s="45"/>
      <c r="HH61" s="168"/>
      <c r="HI61" s="45"/>
      <c r="HJ61" s="45"/>
      <c r="HK61" s="45"/>
      <c r="HL61" s="45"/>
      <c r="HM61" s="45"/>
      <c r="HN61" s="45"/>
      <c r="HR61" s="45"/>
      <c r="HS61" s="45"/>
      <c r="HT61" s="45"/>
      <c r="HU61" s="45"/>
      <c r="HV61" s="168"/>
      <c r="HW61" s="45"/>
      <c r="HX61" s="45"/>
      <c r="HY61" s="45"/>
      <c r="HZ61" s="45"/>
      <c r="IA61" s="45"/>
      <c r="IB61" s="45"/>
      <c r="IF61" s="45"/>
      <c r="IG61" s="45"/>
      <c r="IH61" s="45"/>
      <c r="II61" s="45"/>
      <c r="IJ61" s="168"/>
      <c r="IK61" s="45"/>
      <c r="IL61" s="45"/>
      <c r="IM61" s="45"/>
      <c r="IN61" s="45"/>
      <c r="IO61" s="45"/>
      <c r="IP61" s="45"/>
      <c r="IT61" s="45"/>
      <c r="IU61" s="45"/>
      <c r="IV61" s="45"/>
      <c r="IW61" s="45"/>
      <c r="IX61" s="168"/>
      <c r="IY61" s="45"/>
      <c r="IZ61" s="45"/>
      <c r="JA61" s="45"/>
      <c r="JB61" s="45"/>
      <c r="JC61" s="45"/>
      <c r="JD61" s="45"/>
      <c r="JH61" s="45"/>
      <c r="JI61" s="45"/>
      <c r="JJ61" s="45"/>
      <c r="JK61" s="45"/>
      <c r="JL61" s="168"/>
      <c r="JM61" s="45"/>
      <c r="JN61" s="45"/>
      <c r="JO61" s="45"/>
      <c r="JP61" s="45"/>
      <c r="JQ61" s="45"/>
      <c r="JR61" s="45"/>
      <c r="JV61" s="45"/>
      <c r="JW61" s="45"/>
      <c r="JX61" s="45"/>
      <c r="JY61" s="45"/>
      <c r="JZ61" s="168"/>
      <c r="KA61" s="45"/>
      <c r="KB61" s="45"/>
      <c r="KC61" s="45"/>
      <c r="KD61" s="45"/>
      <c r="KE61" s="45"/>
      <c r="KF61" s="45"/>
      <c r="KJ61" s="45"/>
      <c r="KK61" s="45"/>
      <c r="KL61" s="45"/>
      <c r="KM61" s="45"/>
      <c r="KN61" s="168"/>
      <c r="KO61" s="45"/>
      <c r="KP61" s="45"/>
      <c r="KQ61" s="45"/>
      <c r="KR61" s="45"/>
      <c r="KS61" s="45"/>
      <c r="KT61" s="45"/>
      <c r="KX61" s="45"/>
      <c r="KY61" s="45"/>
      <c r="KZ61" s="45"/>
      <c r="LA61" s="45"/>
      <c r="LB61" s="45"/>
      <c r="LC61" s="45"/>
      <c r="LD61" s="45"/>
      <c r="LE61" s="45"/>
      <c r="LF61" s="45"/>
      <c r="LG61" s="45"/>
      <c r="LH61" s="45"/>
      <c r="LK61" s="45"/>
      <c r="LL61" s="45"/>
      <c r="LM61" s="45"/>
      <c r="LN61" s="45"/>
      <c r="LO61" s="45"/>
      <c r="LP61" s="45"/>
      <c r="LQ61" s="45"/>
      <c r="LR61" s="45"/>
      <c r="LS61" s="45"/>
      <c r="LT61" s="45"/>
      <c r="LU61" s="45"/>
      <c r="LV61" s="45"/>
      <c r="LX61" s="45"/>
      <c r="LY61" s="45"/>
      <c r="LZ61" s="45"/>
      <c r="MA61" s="45"/>
      <c r="MB61" s="168"/>
      <c r="MC61" s="45"/>
      <c r="MD61" s="45"/>
      <c r="ME61" s="45"/>
      <c r="MF61" s="45"/>
      <c r="MG61" s="45"/>
      <c r="MH61" s="45"/>
      <c r="ML61" s="45"/>
      <c r="MM61" s="45"/>
      <c r="MN61" s="45"/>
      <c r="MO61" s="45"/>
      <c r="MP61" s="168"/>
      <c r="MQ61" s="45"/>
      <c r="MR61" s="45"/>
      <c r="MS61" s="45"/>
      <c r="MT61" s="45"/>
      <c r="MU61" s="45"/>
      <c r="MV61" s="45"/>
      <c r="MZ61" s="45"/>
      <c r="NA61" s="45"/>
      <c r="NB61" s="45"/>
      <c r="NC61" s="45"/>
      <c r="ND61" s="45"/>
      <c r="NE61" s="45"/>
      <c r="NF61" s="45"/>
      <c r="NG61" s="45"/>
      <c r="NH61" s="45"/>
      <c r="NI61" s="45"/>
      <c r="NJ61" s="45"/>
      <c r="NM61" s="45"/>
      <c r="NN61" s="45"/>
      <c r="NO61" s="45"/>
      <c r="NP61" s="45"/>
      <c r="NQ61" s="45"/>
      <c r="NR61" s="45"/>
      <c r="NS61" s="45"/>
      <c r="NT61" s="45"/>
      <c r="NU61" s="45"/>
      <c r="NV61" s="45"/>
      <c r="NW61" s="45"/>
      <c r="NZ61" s="45"/>
      <c r="OA61" s="45"/>
      <c r="OB61" s="45"/>
      <c r="OC61" s="45"/>
      <c r="OD61" s="45"/>
      <c r="OE61" s="45"/>
      <c r="OF61" s="45"/>
      <c r="OG61" s="45"/>
      <c r="OH61" s="45"/>
      <c r="OI61" s="45"/>
      <c r="OJ61" s="45"/>
      <c r="OM61" s="45"/>
      <c r="ON61" s="45"/>
      <c r="OO61" s="45"/>
      <c r="OP61" s="45"/>
      <c r="OQ61" s="45"/>
      <c r="OR61" s="45"/>
      <c r="OS61" s="45"/>
      <c r="OT61" s="45"/>
      <c r="OU61" s="45"/>
      <c r="OV61" s="45"/>
      <c r="OW61" s="45"/>
      <c r="OZ61" s="45"/>
      <c r="PA61" s="45"/>
      <c r="PB61" s="45"/>
      <c r="PC61" s="45"/>
      <c r="PD61" s="45"/>
      <c r="PE61" s="45"/>
      <c r="PF61" s="45"/>
      <c r="PG61" s="45"/>
      <c r="PH61" s="45"/>
      <c r="PI61" s="45"/>
      <c r="PJ61" s="45"/>
      <c r="PM61" s="45"/>
      <c r="PN61" s="45"/>
      <c r="PO61" s="45"/>
      <c r="PP61" s="45"/>
      <c r="PQ61" s="45"/>
      <c r="PR61" s="45"/>
      <c r="PS61" s="45"/>
      <c r="PT61" s="45"/>
      <c r="PU61" s="45"/>
      <c r="PV61" s="45"/>
      <c r="PW61" s="45"/>
      <c r="PZ61" s="45"/>
      <c r="QA61" s="45"/>
      <c r="QB61" s="45"/>
      <c r="QC61" s="45"/>
      <c r="QD61" s="45"/>
      <c r="QE61" s="45"/>
      <c r="QF61" s="45"/>
      <c r="QG61" s="45"/>
      <c r="QH61" s="45"/>
      <c r="QI61" s="45"/>
      <c r="QJ61" s="45"/>
      <c r="QM61" s="45"/>
      <c r="QN61" s="45"/>
      <c r="QO61" s="45"/>
      <c r="QP61" s="45"/>
      <c r="QQ61" s="45"/>
      <c r="QR61" s="45"/>
      <c r="QS61" s="45"/>
      <c r="QT61" s="45"/>
      <c r="QU61" s="45"/>
      <c r="QV61" s="45"/>
      <c r="QW61" s="45"/>
      <c r="QZ61" s="45"/>
      <c r="RA61" s="45"/>
      <c r="RB61" s="45"/>
      <c r="RC61" s="45"/>
      <c r="RD61" s="45"/>
      <c r="RE61" s="45"/>
      <c r="RF61" s="45"/>
      <c r="RG61" s="45"/>
      <c r="RH61" s="45"/>
      <c r="RI61" s="45"/>
      <c r="RJ61" s="45"/>
      <c r="RM61" s="45"/>
      <c r="RN61" s="45"/>
      <c r="RO61" s="45"/>
      <c r="RP61" s="45"/>
      <c r="RQ61" s="45"/>
      <c r="RR61" s="45"/>
      <c r="RS61" s="45"/>
      <c r="RT61" s="45"/>
      <c r="RU61" s="45"/>
      <c r="RV61" s="45"/>
      <c r="RW61" s="45"/>
      <c r="RZ61" s="45"/>
      <c r="SA61" s="45"/>
      <c r="SB61" s="45"/>
      <c r="SC61" s="45"/>
      <c r="SD61" s="45"/>
      <c r="SE61" s="45"/>
      <c r="SF61" s="45"/>
      <c r="SG61" s="45"/>
      <c r="SH61" s="45"/>
      <c r="SI61" s="45"/>
      <c r="SJ61" s="45"/>
      <c r="SM61" s="45"/>
      <c r="SN61" s="45"/>
      <c r="SO61" s="45"/>
      <c r="SP61" s="45"/>
      <c r="SQ61" s="45"/>
      <c r="SR61" s="45"/>
      <c r="SS61" s="45"/>
      <c r="ST61" s="45"/>
      <c r="SU61" s="45"/>
      <c r="SV61" s="45"/>
      <c r="SW61" s="45"/>
      <c r="SZ61" s="45"/>
      <c r="TA61" s="45"/>
      <c r="TB61" s="45"/>
      <c r="TC61" s="45"/>
      <c r="TD61" s="45"/>
      <c r="TE61" s="45"/>
      <c r="TF61" s="45"/>
      <c r="TG61" s="45"/>
      <c r="TH61" s="45"/>
      <c r="TI61" s="45"/>
      <c r="TJ61" s="45"/>
      <c r="TM61" s="45"/>
      <c r="TN61" s="45"/>
      <c r="TO61" s="45"/>
      <c r="TP61" s="45"/>
      <c r="TQ61" s="45"/>
      <c r="TR61" s="45"/>
      <c r="TS61" s="45"/>
      <c r="TT61" s="45"/>
      <c r="TU61" s="45"/>
      <c r="TV61" s="45"/>
      <c r="TW61" s="45"/>
      <c r="TZ61" s="45"/>
      <c r="UA61" s="45"/>
      <c r="UB61" s="45"/>
      <c r="UC61" s="45"/>
      <c r="UD61" s="45"/>
      <c r="UE61" s="45"/>
      <c r="UF61" s="45"/>
      <c r="UG61" s="45"/>
      <c r="UH61" s="45"/>
      <c r="UI61" s="45"/>
      <c r="UJ61" s="45"/>
      <c r="UM61" s="45"/>
      <c r="UN61" s="45"/>
      <c r="UO61" s="45"/>
      <c r="UP61" s="45"/>
      <c r="UQ61" s="45"/>
      <c r="UR61" s="45"/>
      <c r="US61" s="45"/>
      <c r="UT61" s="45"/>
      <c r="UU61" s="45"/>
      <c r="UV61" s="45"/>
      <c r="UW61" s="45"/>
      <c r="UZ61" s="45"/>
      <c r="VA61" s="45"/>
      <c r="VB61" s="45"/>
      <c r="VC61" s="45"/>
      <c r="VD61" s="45"/>
      <c r="VE61" s="45"/>
      <c r="VF61" s="45"/>
      <c r="VG61" s="45"/>
      <c r="VH61" s="45"/>
      <c r="VI61" s="45"/>
      <c r="VJ61" s="45"/>
      <c r="VM61" s="45"/>
      <c r="VN61" s="45"/>
      <c r="VO61" s="45"/>
      <c r="VP61" s="45"/>
      <c r="VQ61" s="45"/>
      <c r="VR61" s="45"/>
      <c r="VS61" s="45"/>
      <c r="VT61" s="45"/>
      <c r="VU61" s="45"/>
      <c r="VV61" s="45"/>
      <c r="VW61" s="45"/>
      <c r="VZ61" s="45"/>
      <c r="WA61" s="45"/>
      <c r="WB61" s="45"/>
      <c r="WC61" s="45"/>
      <c r="WD61" s="45"/>
      <c r="WE61" s="45"/>
      <c r="WF61" s="45"/>
      <c r="WG61" s="45"/>
      <c r="WH61" s="45"/>
      <c r="WI61" s="45"/>
      <c r="WJ61" s="45"/>
      <c r="WM61" s="45"/>
      <c r="WN61" s="45"/>
      <c r="WO61" s="45"/>
      <c r="WP61" s="45"/>
      <c r="WQ61" s="45"/>
      <c r="WR61" s="45"/>
      <c r="WS61" s="45"/>
      <c r="WT61" s="45"/>
      <c r="WU61" s="45"/>
      <c r="WV61" s="45"/>
      <c r="WW61" s="45"/>
      <c r="WZ61" s="45"/>
      <c r="XA61" s="45"/>
      <c r="XB61" s="45"/>
      <c r="XC61" s="45"/>
      <c r="XD61" s="45"/>
      <c r="XE61" s="45"/>
      <c r="XF61" s="45"/>
      <c r="XG61" s="45"/>
      <c r="XH61" s="45"/>
      <c r="XI61" s="45"/>
      <c r="XJ61" s="45"/>
      <c r="XM61" s="45"/>
      <c r="XN61" s="45"/>
      <c r="XO61" s="45"/>
      <c r="XP61" s="45"/>
      <c r="XQ61" s="45"/>
      <c r="XR61" s="45"/>
      <c r="XS61" s="45"/>
      <c r="XT61" s="45"/>
      <c r="XU61" s="45"/>
      <c r="XV61" s="45"/>
      <c r="XW61" s="45"/>
      <c r="XZ61" s="45"/>
      <c r="YA61" s="45"/>
      <c r="YB61" s="45"/>
      <c r="YC61" s="45"/>
      <c r="YD61" s="45"/>
      <c r="YE61" s="45"/>
      <c r="YF61" s="45"/>
      <c r="YG61" s="45"/>
      <c r="YH61" s="45"/>
      <c r="YI61" s="45"/>
      <c r="YJ61" s="45"/>
    </row>
    <row r="62" spans="1:660">
      <c r="B62" s="45"/>
      <c r="C62" s="45"/>
      <c r="D62" s="45"/>
      <c r="E62" s="45"/>
      <c r="F62" s="168"/>
      <c r="G62" s="45"/>
      <c r="H62" s="45"/>
      <c r="I62" s="45"/>
      <c r="J62" s="45"/>
      <c r="K62" s="45"/>
      <c r="L62" s="45"/>
      <c r="P62" s="45"/>
      <c r="Q62" s="45"/>
      <c r="R62" s="45"/>
      <c r="S62" s="45"/>
      <c r="T62" s="168"/>
      <c r="U62" s="45"/>
      <c r="V62" s="45"/>
      <c r="W62" s="45"/>
      <c r="X62" s="45"/>
      <c r="Y62" s="45"/>
      <c r="Z62" s="45"/>
      <c r="AD62" s="45"/>
      <c r="AE62" s="45"/>
      <c r="AF62" s="45"/>
      <c r="AG62" s="45"/>
      <c r="AH62" s="168"/>
      <c r="AI62" s="45"/>
      <c r="AJ62" s="45"/>
      <c r="AK62" s="45"/>
      <c r="AL62" s="45"/>
      <c r="AM62" s="45"/>
      <c r="AN62" s="45"/>
      <c r="AR62" s="45"/>
      <c r="AS62" s="45"/>
      <c r="AT62" s="45"/>
      <c r="AU62" s="45"/>
      <c r="AV62" s="168"/>
      <c r="AW62" s="45"/>
      <c r="AX62" s="45"/>
      <c r="AY62" s="45"/>
      <c r="AZ62" s="45"/>
      <c r="BA62" s="45"/>
      <c r="BB62" s="45"/>
      <c r="BF62" s="45"/>
      <c r="BG62" s="45"/>
      <c r="BH62" s="45"/>
      <c r="BI62" s="45"/>
      <c r="BJ62" s="168"/>
      <c r="BK62" s="45"/>
      <c r="BL62" s="45"/>
      <c r="BM62" s="45"/>
      <c r="BN62" s="45"/>
      <c r="BO62" s="45"/>
      <c r="BP62" s="45"/>
      <c r="BT62" s="45"/>
      <c r="BU62" s="45"/>
      <c r="BV62" s="45"/>
      <c r="BW62" s="45"/>
      <c r="BX62" s="168"/>
      <c r="BY62" s="45"/>
      <c r="BZ62" s="45"/>
      <c r="CA62" s="45"/>
      <c r="CB62" s="45"/>
      <c r="CC62" s="45"/>
      <c r="CD62" s="45"/>
      <c r="CH62" s="45"/>
      <c r="CI62" s="45"/>
      <c r="CJ62" s="45"/>
      <c r="CK62" s="45"/>
      <c r="CL62" s="168"/>
      <c r="CM62" s="45"/>
      <c r="CN62" s="45"/>
      <c r="CO62" s="45"/>
      <c r="CP62" s="45"/>
      <c r="CQ62" s="45"/>
      <c r="CR62" s="45"/>
      <c r="CV62" s="45"/>
      <c r="CW62" s="45"/>
      <c r="CX62" s="45"/>
      <c r="CY62" s="45"/>
      <c r="CZ62" s="168"/>
      <c r="DA62" s="45"/>
      <c r="DB62" s="45"/>
      <c r="DC62" s="45"/>
      <c r="DD62" s="45"/>
      <c r="DE62" s="45"/>
      <c r="DF62" s="45"/>
      <c r="DJ62" s="45"/>
      <c r="DK62" s="45"/>
      <c r="DL62" s="45"/>
      <c r="DM62" s="45"/>
      <c r="DN62" s="168"/>
      <c r="DO62" s="45"/>
      <c r="DP62" s="45"/>
      <c r="DQ62" s="45"/>
      <c r="DR62" s="45"/>
      <c r="DS62" s="45"/>
      <c r="DT62" s="45"/>
      <c r="DX62" s="45"/>
      <c r="DY62" s="45"/>
      <c r="DZ62" s="45"/>
      <c r="EA62" s="45"/>
      <c r="EB62" s="168"/>
      <c r="EC62" s="45"/>
      <c r="ED62" s="45"/>
      <c r="EE62" s="45"/>
      <c r="EF62" s="45"/>
      <c r="EG62" s="45"/>
      <c r="EH62" s="45"/>
      <c r="EL62" s="45"/>
      <c r="EM62" s="45"/>
      <c r="EN62" s="45"/>
      <c r="EO62" s="45"/>
      <c r="EP62" s="168"/>
      <c r="EQ62" s="45"/>
      <c r="ER62" s="45"/>
      <c r="ES62" s="45"/>
      <c r="ET62" s="45"/>
      <c r="EU62" s="45"/>
      <c r="EV62" s="45"/>
      <c r="EZ62" s="45"/>
      <c r="FA62" s="45"/>
      <c r="FB62" s="45"/>
      <c r="FC62" s="45"/>
      <c r="FD62" s="168"/>
      <c r="FE62" s="45"/>
      <c r="FF62" s="45"/>
      <c r="FG62" s="45"/>
      <c r="FH62" s="45"/>
      <c r="FI62" s="45"/>
      <c r="FJ62" s="45"/>
      <c r="FN62" s="45"/>
      <c r="FO62" s="45"/>
      <c r="FP62" s="45"/>
      <c r="FQ62" s="45"/>
      <c r="FR62" s="168"/>
      <c r="FS62" s="45"/>
      <c r="FT62" s="45"/>
      <c r="FU62" s="45"/>
      <c r="FV62" s="45"/>
      <c r="FW62" s="45"/>
      <c r="FX62" s="45"/>
      <c r="GB62" s="45"/>
      <c r="GC62" s="45"/>
      <c r="GD62" s="45"/>
      <c r="GE62" s="45"/>
      <c r="GF62" s="168"/>
      <c r="GG62" s="45"/>
      <c r="GH62" s="45"/>
      <c r="GI62" s="45"/>
      <c r="GJ62" s="45"/>
      <c r="GK62" s="45"/>
      <c r="GL62" s="45"/>
      <c r="GP62" s="45"/>
      <c r="GQ62" s="45"/>
      <c r="GR62" s="45"/>
      <c r="GS62" s="45"/>
      <c r="GT62" s="168"/>
      <c r="GU62" s="45"/>
      <c r="GV62" s="45"/>
      <c r="GW62" s="45"/>
      <c r="GX62" s="45"/>
      <c r="GY62" s="45"/>
      <c r="GZ62" s="45"/>
      <c r="HD62" s="45"/>
      <c r="HE62" s="45"/>
      <c r="HF62" s="45"/>
      <c r="HG62" s="45"/>
      <c r="HH62" s="168"/>
      <c r="HI62" s="45"/>
      <c r="HJ62" s="45"/>
      <c r="HK62" s="45"/>
      <c r="HL62" s="45"/>
      <c r="HM62" s="45"/>
      <c r="HN62" s="45"/>
      <c r="HR62" s="45"/>
      <c r="HS62" s="45"/>
      <c r="HT62" s="45"/>
      <c r="HU62" s="45"/>
      <c r="HV62" s="168"/>
      <c r="HW62" s="45"/>
      <c r="HX62" s="45"/>
      <c r="HY62" s="45"/>
      <c r="HZ62" s="45"/>
      <c r="IA62" s="45"/>
      <c r="IB62" s="45"/>
      <c r="IF62" s="45"/>
      <c r="IG62" s="45"/>
      <c r="IH62" s="45"/>
      <c r="II62" s="45"/>
      <c r="IJ62" s="168"/>
      <c r="IK62" s="45"/>
      <c r="IL62" s="45"/>
      <c r="IM62" s="45"/>
      <c r="IN62" s="45"/>
      <c r="IO62" s="45"/>
      <c r="IP62" s="45"/>
      <c r="IT62" s="45"/>
      <c r="IU62" s="45"/>
      <c r="IV62" s="45"/>
      <c r="IW62" s="45"/>
      <c r="IX62" s="168"/>
      <c r="IY62" s="45"/>
      <c r="IZ62" s="45"/>
      <c r="JA62" s="45"/>
      <c r="JB62" s="45"/>
      <c r="JC62" s="45"/>
      <c r="JD62" s="45"/>
      <c r="JH62" s="45"/>
      <c r="JI62" s="45"/>
      <c r="JJ62" s="45"/>
      <c r="JK62" s="45"/>
      <c r="JL62" s="168"/>
      <c r="JM62" s="45"/>
      <c r="JN62" s="45"/>
      <c r="JO62" s="45"/>
      <c r="JP62" s="45"/>
      <c r="JQ62" s="45"/>
      <c r="JR62" s="45"/>
      <c r="JV62" s="45"/>
      <c r="JW62" s="45"/>
      <c r="JX62" s="45"/>
      <c r="JY62" s="45"/>
      <c r="JZ62" s="168"/>
      <c r="KA62" s="45"/>
      <c r="KB62" s="45"/>
      <c r="KC62" s="45"/>
      <c r="KD62" s="45"/>
      <c r="KE62" s="45"/>
      <c r="KF62" s="45"/>
      <c r="KJ62" s="45"/>
      <c r="KK62" s="45"/>
      <c r="KL62" s="45"/>
      <c r="KM62" s="45"/>
      <c r="KN62" s="168"/>
      <c r="KO62" s="45"/>
      <c r="KP62" s="45"/>
      <c r="KQ62" s="45"/>
      <c r="KR62" s="45"/>
      <c r="KS62" s="45"/>
      <c r="KT62" s="45"/>
      <c r="KX62" s="45"/>
      <c r="KY62" s="45"/>
      <c r="KZ62" s="45"/>
      <c r="LA62" s="45"/>
      <c r="LB62" s="45"/>
      <c r="LC62" s="45"/>
      <c r="LD62" s="45"/>
      <c r="LE62" s="45"/>
      <c r="LF62" s="45"/>
      <c r="LG62" s="45"/>
      <c r="LH62" s="45"/>
      <c r="LK62" s="45"/>
      <c r="LL62" s="45"/>
      <c r="LM62" s="45"/>
      <c r="LN62" s="45"/>
      <c r="LO62" s="45"/>
      <c r="LP62" s="45"/>
      <c r="LQ62" s="45"/>
      <c r="LR62" s="45"/>
      <c r="LS62" s="45"/>
      <c r="LT62" s="45"/>
      <c r="LU62" s="45"/>
      <c r="LV62" s="45"/>
      <c r="LX62" s="45"/>
      <c r="LY62" s="45"/>
      <c r="LZ62" s="45"/>
      <c r="MA62" s="45"/>
      <c r="MB62" s="168"/>
      <c r="MC62" s="45"/>
      <c r="MD62" s="45"/>
      <c r="ME62" s="45"/>
      <c r="MF62" s="45"/>
      <c r="MG62" s="45"/>
      <c r="MH62" s="45"/>
      <c r="ML62" s="45"/>
      <c r="MM62" s="45"/>
      <c r="MN62" s="45"/>
      <c r="MO62" s="45"/>
      <c r="MP62" s="168"/>
      <c r="MQ62" s="45"/>
      <c r="MR62" s="45"/>
      <c r="MS62" s="45"/>
      <c r="MT62" s="45"/>
      <c r="MU62" s="45"/>
      <c r="MV62" s="45"/>
      <c r="MZ62" s="45"/>
      <c r="NA62" s="45"/>
      <c r="NB62" s="45"/>
      <c r="NC62" s="45"/>
      <c r="ND62" s="45"/>
      <c r="NE62" s="45"/>
      <c r="NF62" s="45"/>
      <c r="NG62" s="45"/>
      <c r="NH62" s="45"/>
      <c r="NI62" s="45"/>
      <c r="NJ62" s="45"/>
      <c r="NM62" s="45"/>
      <c r="NN62" s="45"/>
      <c r="NO62" s="45"/>
      <c r="NP62" s="45"/>
      <c r="NQ62" s="45"/>
      <c r="NR62" s="45"/>
      <c r="NS62" s="45"/>
      <c r="NT62" s="45"/>
      <c r="NU62" s="45"/>
      <c r="NV62" s="45"/>
      <c r="NW62" s="45"/>
      <c r="NZ62" s="45"/>
      <c r="OA62" s="45"/>
      <c r="OB62" s="45"/>
      <c r="OC62" s="45"/>
      <c r="OD62" s="45"/>
      <c r="OE62" s="45"/>
      <c r="OF62" s="45"/>
      <c r="OG62" s="45"/>
      <c r="OH62" s="45"/>
      <c r="OI62" s="45"/>
      <c r="OJ62" s="45"/>
      <c r="OM62" s="45"/>
      <c r="ON62" s="45"/>
      <c r="OO62" s="45"/>
      <c r="OP62" s="45"/>
      <c r="OQ62" s="45"/>
      <c r="OR62" s="45"/>
      <c r="OS62" s="45"/>
      <c r="OT62" s="45"/>
      <c r="OU62" s="45"/>
      <c r="OV62" s="45"/>
      <c r="OW62" s="45"/>
      <c r="OZ62" s="45"/>
      <c r="PA62" s="45"/>
      <c r="PB62" s="45"/>
      <c r="PC62" s="45"/>
      <c r="PD62" s="45"/>
      <c r="PE62" s="45"/>
      <c r="PF62" s="45"/>
      <c r="PG62" s="45"/>
      <c r="PH62" s="45"/>
      <c r="PI62" s="45"/>
      <c r="PJ62" s="45"/>
      <c r="PM62" s="45"/>
      <c r="PN62" s="45"/>
      <c r="PO62" s="45"/>
      <c r="PP62" s="45"/>
      <c r="PQ62" s="45"/>
      <c r="PR62" s="45"/>
      <c r="PS62" s="45"/>
      <c r="PT62" s="45"/>
      <c r="PU62" s="45"/>
      <c r="PV62" s="45"/>
      <c r="PW62" s="45"/>
      <c r="PZ62" s="45"/>
      <c r="QA62" s="45"/>
      <c r="QB62" s="45"/>
      <c r="QC62" s="45"/>
      <c r="QD62" s="45"/>
      <c r="QE62" s="45"/>
      <c r="QF62" s="45"/>
      <c r="QG62" s="45"/>
      <c r="QH62" s="45"/>
      <c r="QI62" s="45"/>
      <c r="QJ62" s="45"/>
      <c r="QM62" s="45"/>
      <c r="QN62" s="45"/>
      <c r="QO62" s="45"/>
      <c r="QP62" s="45"/>
      <c r="QQ62" s="45"/>
      <c r="QR62" s="45"/>
      <c r="QS62" s="45"/>
      <c r="QT62" s="45"/>
      <c r="QU62" s="45"/>
      <c r="QV62" s="45"/>
      <c r="QW62" s="45"/>
      <c r="QZ62" s="45"/>
      <c r="RA62" s="45"/>
      <c r="RB62" s="45"/>
      <c r="RC62" s="45"/>
      <c r="RD62" s="45"/>
      <c r="RE62" s="45"/>
      <c r="RF62" s="45"/>
      <c r="RG62" s="45"/>
      <c r="RH62" s="45"/>
      <c r="RI62" s="45"/>
      <c r="RJ62" s="45"/>
      <c r="RM62" s="45"/>
      <c r="RN62" s="45"/>
      <c r="RO62" s="45"/>
      <c r="RP62" s="45"/>
      <c r="RQ62" s="45"/>
      <c r="RR62" s="45"/>
      <c r="RS62" s="45"/>
      <c r="RT62" s="45"/>
      <c r="RU62" s="45"/>
      <c r="RV62" s="45"/>
      <c r="RW62" s="45"/>
      <c r="RZ62" s="45"/>
      <c r="SA62" s="45"/>
      <c r="SB62" s="45"/>
      <c r="SC62" s="45"/>
      <c r="SD62" s="45"/>
      <c r="SE62" s="45"/>
      <c r="SF62" s="45"/>
      <c r="SG62" s="45"/>
      <c r="SH62" s="45"/>
      <c r="SI62" s="45"/>
      <c r="SJ62" s="45"/>
      <c r="SM62" s="45"/>
      <c r="SN62" s="45"/>
      <c r="SO62" s="45"/>
      <c r="SP62" s="45"/>
      <c r="SQ62" s="45"/>
      <c r="SR62" s="45"/>
      <c r="SS62" s="45"/>
      <c r="ST62" s="45"/>
      <c r="SU62" s="45"/>
      <c r="SV62" s="45"/>
      <c r="SW62" s="45"/>
      <c r="SZ62" s="45"/>
      <c r="TA62" s="45"/>
      <c r="TB62" s="45"/>
      <c r="TC62" s="45"/>
      <c r="TD62" s="45"/>
      <c r="TE62" s="45"/>
      <c r="TF62" s="45"/>
      <c r="TG62" s="45"/>
      <c r="TH62" s="45"/>
      <c r="TI62" s="45"/>
      <c r="TJ62" s="45"/>
      <c r="TM62" s="45"/>
      <c r="TN62" s="45"/>
      <c r="TO62" s="45"/>
      <c r="TP62" s="45"/>
      <c r="TQ62" s="45"/>
      <c r="TR62" s="45"/>
      <c r="TS62" s="45"/>
      <c r="TT62" s="45"/>
      <c r="TU62" s="45"/>
      <c r="TV62" s="45"/>
      <c r="TW62" s="45"/>
      <c r="TZ62" s="45"/>
      <c r="UA62" s="45"/>
      <c r="UB62" s="45"/>
      <c r="UC62" s="45"/>
      <c r="UD62" s="45"/>
      <c r="UE62" s="45"/>
      <c r="UF62" s="45"/>
      <c r="UG62" s="45"/>
      <c r="UH62" s="45"/>
      <c r="UI62" s="45"/>
      <c r="UJ62" s="45"/>
      <c r="UM62" s="45"/>
      <c r="UN62" s="45"/>
      <c r="UO62" s="45"/>
      <c r="UP62" s="45"/>
      <c r="UQ62" s="45"/>
      <c r="UR62" s="45"/>
      <c r="US62" s="45"/>
      <c r="UT62" s="45"/>
      <c r="UU62" s="45"/>
      <c r="UV62" s="45"/>
      <c r="UW62" s="45"/>
      <c r="UZ62" s="45"/>
      <c r="VA62" s="45"/>
      <c r="VB62" s="45"/>
      <c r="VC62" s="45"/>
      <c r="VD62" s="45"/>
      <c r="VE62" s="45"/>
      <c r="VF62" s="45"/>
      <c r="VG62" s="45"/>
      <c r="VH62" s="45"/>
      <c r="VI62" s="45"/>
      <c r="VJ62" s="45"/>
      <c r="VM62" s="45"/>
      <c r="VN62" s="45"/>
      <c r="VO62" s="45"/>
      <c r="VP62" s="45"/>
      <c r="VQ62" s="45"/>
      <c r="VR62" s="45"/>
      <c r="VS62" s="45"/>
      <c r="VT62" s="45"/>
      <c r="VU62" s="45"/>
      <c r="VV62" s="45"/>
      <c r="VW62" s="45"/>
      <c r="VZ62" s="45"/>
      <c r="WA62" s="45"/>
      <c r="WB62" s="45"/>
      <c r="WC62" s="45"/>
      <c r="WD62" s="45"/>
      <c r="WE62" s="45"/>
      <c r="WF62" s="45"/>
      <c r="WG62" s="45"/>
      <c r="WH62" s="45"/>
      <c r="WI62" s="45"/>
      <c r="WJ62" s="45"/>
      <c r="WM62" s="45"/>
      <c r="WN62" s="45"/>
      <c r="WO62" s="45"/>
      <c r="WP62" s="45"/>
      <c r="WQ62" s="45"/>
      <c r="WR62" s="45"/>
      <c r="WS62" s="45"/>
      <c r="WT62" s="45"/>
      <c r="WU62" s="45"/>
      <c r="WV62" s="45"/>
      <c r="WW62" s="45"/>
      <c r="WZ62" s="45"/>
      <c r="XA62" s="45"/>
      <c r="XB62" s="45"/>
      <c r="XC62" s="45"/>
      <c r="XD62" s="45"/>
      <c r="XE62" s="45"/>
      <c r="XF62" s="45"/>
      <c r="XG62" s="45"/>
      <c r="XH62" s="45"/>
      <c r="XI62" s="45"/>
      <c r="XJ62" s="45"/>
      <c r="XM62" s="45"/>
      <c r="XN62" s="45"/>
      <c r="XO62" s="45"/>
      <c r="XP62" s="45"/>
      <c r="XQ62" s="45"/>
      <c r="XR62" s="45"/>
      <c r="XS62" s="45"/>
      <c r="XT62" s="45"/>
      <c r="XU62" s="45"/>
      <c r="XV62" s="45"/>
      <c r="XW62" s="45"/>
      <c r="XZ62" s="45"/>
      <c r="YA62" s="45"/>
      <c r="YB62" s="45"/>
      <c r="YC62" s="45"/>
      <c r="YD62" s="45"/>
      <c r="YE62" s="45"/>
      <c r="YF62" s="45"/>
      <c r="YG62" s="45"/>
      <c r="YH62" s="45"/>
      <c r="YI62" s="45"/>
      <c r="YJ62" s="45"/>
    </row>
    <row r="63" spans="1:660">
      <c r="B63" s="45"/>
      <c r="C63" s="45"/>
      <c r="D63" s="45"/>
      <c r="E63" s="45"/>
      <c r="F63" s="168"/>
      <c r="G63" s="45"/>
      <c r="H63" s="45"/>
      <c r="I63" s="45"/>
      <c r="J63" s="45"/>
      <c r="K63" s="45"/>
      <c r="L63" s="45"/>
      <c r="P63" s="45"/>
      <c r="Q63" s="45"/>
      <c r="R63" s="45"/>
      <c r="S63" s="45"/>
      <c r="T63" s="168"/>
      <c r="U63" s="45"/>
      <c r="V63" s="45"/>
      <c r="W63" s="45"/>
      <c r="X63" s="45"/>
      <c r="Y63" s="45"/>
      <c r="Z63" s="45"/>
      <c r="AD63" s="45"/>
      <c r="AE63" s="45"/>
      <c r="AF63" s="45"/>
      <c r="AG63" s="45"/>
      <c r="AH63" s="168"/>
      <c r="AI63" s="45"/>
      <c r="AJ63" s="45"/>
      <c r="AK63" s="45"/>
      <c r="AL63" s="45"/>
      <c r="AM63" s="45"/>
      <c r="AN63" s="45"/>
      <c r="AR63" s="45"/>
      <c r="AS63" s="45"/>
      <c r="AT63" s="45"/>
      <c r="AU63" s="45"/>
      <c r="AV63" s="168"/>
      <c r="AW63" s="45"/>
      <c r="AX63" s="45"/>
      <c r="AY63" s="45"/>
      <c r="AZ63" s="45"/>
      <c r="BA63" s="45"/>
      <c r="BB63" s="45"/>
      <c r="BF63" s="45"/>
      <c r="BG63" s="45"/>
      <c r="BH63" s="45"/>
      <c r="BI63" s="45"/>
      <c r="BJ63" s="168"/>
      <c r="BK63" s="45"/>
      <c r="BL63" s="45"/>
      <c r="BM63" s="45"/>
      <c r="BN63" s="45"/>
      <c r="BO63" s="45"/>
      <c r="BP63" s="45"/>
      <c r="BT63" s="45"/>
      <c r="BU63" s="45"/>
      <c r="BV63" s="45"/>
      <c r="BW63" s="45"/>
      <c r="BX63" s="168"/>
      <c r="BY63" s="45"/>
      <c r="BZ63" s="45"/>
      <c r="CA63" s="45"/>
      <c r="CB63" s="45"/>
      <c r="CC63" s="45"/>
      <c r="CD63" s="45"/>
      <c r="CH63" s="45"/>
      <c r="CI63" s="45"/>
      <c r="CJ63" s="45"/>
      <c r="CK63" s="45"/>
      <c r="CL63" s="168"/>
      <c r="CM63" s="45"/>
      <c r="CN63" s="45"/>
      <c r="CO63" s="45"/>
      <c r="CP63" s="45"/>
      <c r="CQ63" s="45"/>
      <c r="CR63" s="45"/>
      <c r="CV63" s="45"/>
      <c r="CW63" s="45"/>
      <c r="CX63" s="45"/>
      <c r="CY63" s="45"/>
      <c r="CZ63" s="168"/>
      <c r="DA63" s="45"/>
      <c r="DB63" s="45"/>
      <c r="DC63" s="45"/>
      <c r="DD63" s="45"/>
      <c r="DE63" s="45"/>
      <c r="DF63" s="45"/>
      <c r="DJ63" s="45"/>
      <c r="DK63" s="45"/>
      <c r="DL63" s="45"/>
      <c r="DM63" s="45"/>
      <c r="DN63" s="168"/>
      <c r="DO63" s="45"/>
      <c r="DP63" s="45"/>
      <c r="DQ63" s="45"/>
      <c r="DR63" s="45"/>
      <c r="DS63" s="45"/>
      <c r="DT63" s="45"/>
      <c r="DX63" s="45"/>
      <c r="DY63" s="45"/>
      <c r="DZ63" s="45"/>
      <c r="EA63" s="45"/>
      <c r="EB63" s="168"/>
      <c r="EC63" s="45"/>
      <c r="ED63" s="45"/>
      <c r="EE63" s="45"/>
      <c r="EF63" s="45"/>
      <c r="EG63" s="45"/>
      <c r="EH63" s="45"/>
      <c r="EL63" s="45"/>
      <c r="EM63" s="45"/>
      <c r="EN63" s="45"/>
      <c r="EO63" s="45"/>
      <c r="EP63" s="168"/>
      <c r="EQ63" s="45"/>
      <c r="ER63" s="45"/>
      <c r="ES63" s="45"/>
      <c r="ET63" s="45"/>
      <c r="EU63" s="45"/>
      <c r="EV63" s="45"/>
      <c r="EZ63" s="45"/>
      <c r="FA63" s="45"/>
      <c r="FB63" s="45"/>
      <c r="FC63" s="45"/>
      <c r="FD63" s="168"/>
      <c r="FE63" s="45"/>
      <c r="FF63" s="45"/>
      <c r="FG63" s="45"/>
      <c r="FH63" s="45"/>
      <c r="FI63" s="45"/>
      <c r="FJ63" s="45"/>
      <c r="FN63" s="45"/>
      <c r="FO63" s="45"/>
      <c r="FP63" s="45"/>
      <c r="FQ63" s="45"/>
      <c r="FR63" s="168"/>
      <c r="FS63" s="45"/>
      <c r="FT63" s="45"/>
      <c r="FU63" s="45"/>
      <c r="FV63" s="45"/>
      <c r="FW63" s="45"/>
      <c r="FX63" s="45"/>
      <c r="GB63" s="45"/>
      <c r="GC63" s="45"/>
      <c r="GD63" s="45"/>
      <c r="GE63" s="45"/>
      <c r="GF63" s="168"/>
      <c r="GG63" s="45"/>
      <c r="GH63" s="45"/>
      <c r="GI63" s="45"/>
      <c r="GJ63" s="45"/>
      <c r="GK63" s="45"/>
      <c r="GL63" s="45"/>
      <c r="GP63" s="45"/>
      <c r="GQ63" s="45"/>
      <c r="GR63" s="45"/>
      <c r="GS63" s="45"/>
      <c r="GT63" s="168"/>
      <c r="GU63" s="45"/>
      <c r="GV63" s="45"/>
      <c r="GW63" s="45"/>
      <c r="GX63" s="45"/>
      <c r="GY63" s="45"/>
      <c r="GZ63" s="45"/>
      <c r="HD63" s="45"/>
      <c r="HE63" s="45"/>
      <c r="HF63" s="45"/>
      <c r="HG63" s="45"/>
      <c r="HH63" s="168"/>
      <c r="HI63" s="45"/>
      <c r="HJ63" s="45"/>
      <c r="HK63" s="45"/>
      <c r="HL63" s="45"/>
      <c r="HM63" s="45"/>
      <c r="HN63" s="45"/>
      <c r="HR63" s="45"/>
      <c r="HS63" s="45"/>
      <c r="HT63" s="45"/>
      <c r="HU63" s="45"/>
      <c r="HV63" s="168"/>
      <c r="HW63" s="45"/>
      <c r="HX63" s="45"/>
      <c r="HY63" s="45"/>
      <c r="HZ63" s="45"/>
      <c r="IA63" s="45"/>
      <c r="IB63" s="45"/>
      <c r="IF63" s="45"/>
      <c r="IG63" s="45"/>
      <c r="IH63" s="45"/>
      <c r="II63" s="45"/>
      <c r="IJ63" s="168"/>
      <c r="IK63" s="45"/>
      <c r="IL63" s="45"/>
      <c r="IM63" s="45"/>
      <c r="IN63" s="45"/>
      <c r="IO63" s="45"/>
      <c r="IP63" s="45"/>
      <c r="IT63" s="45"/>
      <c r="IU63" s="45"/>
      <c r="IV63" s="45"/>
      <c r="IW63" s="45"/>
      <c r="IX63" s="168"/>
      <c r="IY63" s="45"/>
      <c r="IZ63" s="45"/>
      <c r="JA63" s="45"/>
      <c r="JB63" s="45"/>
      <c r="JC63" s="45"/>
      <c r="JD63" s="45"/>
      <c r="JH63" s="45"/>
      <c r="JI63" s="45"/>
      <c r="JJ63" s="45"/>
      <c r="JK63" s="45"/>
      <c r="JL63" s="168"/>
      <c r="JM63" s="45"/>
      <c r="JN63" s="45"/>
      <c r="JO63" s="45"/>
      <c r="JP63" s="45"/>
      <c r="JQ63" s="45"/>
      <c r="JR63" s="45"/>
      <c r="JV63" s="45"/>
      <c r="JW63" s="45"/>
      <c r="JX63" s="45"/>
      <c r="JY63" s="45"/>
      <c r="JZ63" s="168"/>
      <c r="KA63" s="45"/>
      <c r="KB63" s="45"/>
      <c r="KC63" s="45"/>
      <c r="KD63" s="45"/>
      <c r="KE63" s="45"/>
      <c r="KF63" s="45"/>
      <c r="KJ63" s="45"/>
      <c r="KK63" s="45"/>
      <c r="KL63" s="45"/>
      <c r="KM63" s="45"/>
      <c r="KN63" s="168"/>
      <c r="KO63" s="45"/>
      <c r="KP63" s="45"/>
      <c r="KQ63" s="45"/>
      <c r="KR63" s="45"/>
      <c r="KS63" s="45"/>
      <c r="KT63" s="45"/>
      <c r="KX63" s="45"/>
      <c r="KY63" s="45"/>
      <c r="KZ63" s="45"/>
      <c r="LA63" s="45"/>
      <c r="LB63" s="45"/>
      <c r="LC63" s="45"/>
      <c r="LD63" s="45"/>
      <c r="LE63" s="45"/>
      <c r="LF63" s="45"/>
      <c r="LG63" s="45"/>
      <c r="LH63" s="45"/>
      <c r="LK63" s="45"/>
      <c r="LL63" s="45"/>
      <c r="LM63" s="45"/>
      <c r="LN63" s="45"/>
      <c r="LO63" s="45"/>
      <c r="LP63" s="45"/>
      <c r="LQ63" s="45"/>
      <c r="LR63" s="45"/>
      <c r="LS63" s="45"/>
      <c r="LT63" s="45"/>
      <c r="LU63" s="45"/>
      <c r="LV63" s="45"/>
      <c r="LX63" s="45"/>
      <c r="LY63" s="45"/>
      <c r="LZ63" s="45"/>
      <c r="MA63" s="45"/>
      <c r="MB63" s="168"/>
      <c r="MC63" s="45"/>
      <c r="MD63" s="45"/>
      <c r="ME63" s="45"/>
      <c r="MF63" s="45"/>
      <c r="MG63" s="45"/>
      <c r="MH63" s="45"/>
      <c r="ML63" s="45"/>
      <c r="MM63" s="45"/>
      <c r="MN63" s="45"/>
      <c r="MO63" s="45"/>
      <c r="MP63" s="168"/>
      <c r="MQ63" s="45"/>
      <c r="MR63" s="45"/>
      <c r="MS63" s="45"/>
      <c r="MT63" s="45"/>
      <c r="MU63" s="45"/>
      <c r="MV63" s="45"/>
      <c r="MZ63" s="45"/>
      <c r="NA63" s="45"/>
      <c r="NB63" s="45"/>
      <c r="NC63" s="45"/>
      <c r="ND63" s="45"/>
      <c r="NE63" s="45"/>
      <c r="NF63" s="45"/>
      <c r="NG63" s="45"/>
      <c r="NH63" s="45"/>
      <c r="NI63" s="45"/>
      <c r="NJ63" s="45"/>
      <c r="NM63" s="45"/>
      <c r="NN63" s="45"/>
      <c r="NO63" s="45"/>
      <c r="NP63" s="45"/>
      <c r="NQ63" s="45"/>
      <c r="NR63" s="45"/>
      <c r="NS63" s="45"/>
      <c r="NT63" s="45"/>
      <c r="NU63" s="45"/>
      <c r="NV63" s="45"/>
      <c r="NW63" s="45"/>
      <c r="NZ63" s="45"/>
      <c r="OA63" s="45"/>
      <c r="OB63" s="45"/>
      <c r="OC63" s="45"/>
      <c r="OD63" s="45"/>
      <c r="OE63" s="45"/>
      <c r="OF63" s="45"/>
      <c r="OG63" s="45"/>
      <c r="OH63" s="45"/>
      <c r="OI63" s="45"/>
      <c r="OJ63" s="45"/>
      <c r="OM63" s="45"/>
      <c r="ON63" s="45"/>
      <c r="OO63" s="45"/>
      <c r="OP63" s="45"/>
      <c r="OQ63" s="45"/>
      <c r="OR63" s="45"/>
      <c r="OS63" s="45"/>
      <c r="OT63" s="45"/>
      <c r="OU63" s="45"/>
      <c r="OV63" s="45"/>
      <c r="OW63" s="45"/>
      <c r="OZ63" s="45"/>
      <c r="PA63" s="45"/>
      <c r="PB63" s="45"/>
      <c r="PC63" s="45"/>
      <c r="PD63" s="45"/>
      <c r="PE63" s="45"/>
      <c r="PF63" s="45"/>
      <c r="PG63" s="45"/>
      <c r="PH63" s="45"/>
      <c r="PI63" s="45"/>
      <c r="PJ63" s="45"/>
      <c r="PM63" s="45"/>
      <c r="PN63" s="45"/>
      <c r="PO63" s="45"/>
      <c r="PP63" s="45"/>
      <c r="PQ63" s="45"/>
      <c r="PR63" s="45"/>
      <c r="PS63" s="45"/>
      <c r="PT63" s="45"/>
      <c r="PU63" s="45"/>
      <c r="PV63" s="45"/>
      <c r="PW63" s="45"/>
      <c r="PZ63" s="45"/>
      <c r="QA63" s="45"/>
      <c r="QB63" s="45"/>
      <c r="QC63" s="45"/>
      <c r="QD63" s="45"/>
      <c r="QE63" s="45"/>
      <c r="QF63" s="45"/>
      <c r="QG63" s="45"/>
      <c r="QH63" s="45"/>
      <c r="QI63" s="45"/>
      <c r="QJ63" s="45"/>
      <c r="QM63" s="45"/>
      <c r="QN63" s="45"/>
      <c r="QO63" s="45"/>
      <c r="QP63" s="45"/>
      <c r="QQ63" s="45"/>
      <c r="QR63" s="45"/>
      <c r="QS63" s="45"/>
      <c r="QT63" s="45"/>
      <c r="QU63" s="45"/>
      <c r="QV63" s="45"/>
      <c r="QW63" s="45"/>
      <c r="QZ63" s="45"/>
      <c r="RA63" s="45"/>
      <c r="RB63" s="45"/>
      <c r="RC63" s="45"/>
      <c r="RD63" s="45"/>
      <c r="RE63" s="45"/>
      <c r="RF63" s="45"/>
      <c r="RG63" s="45"/>
      <c r="RH63" s="45"/>
      <c r="RI63" s="45"/>
      <c r="RJ63" s="45"/>
      <c r="RM63" s="45"/>
      <c r="RN63" s="45"/>
      <c r="RO63" s="45"/>
      <c r="RP63" s="45"/>
      <c r="RQ63" s="45"/>
      <c r="RR63" s="45"/>
      <c r="RS63" s="45"/>
      <c r="RT63" s="45"/>
      <c r="RU63" s="45"/>
      <c r="RV63" s="45"/>
      <c r="RW63" s="45"/>
      <c r="RZ63" s="45"/>
      <c r="SA63" s="45"/>
      <c r="SB63" s="45"/>
      <c r="SC63" s="45"/>
      <c r="SD63" s="45"/>
      <c r="SE63" s="45"/>
      <c r="SF63" s="45"/>
      <c r="SG63" s="45"/>
      <c r="SH63" s="45"/>
      <c r="SI63" s="45"/>
      <c r="SJ63" s="45"/>
      <c r="SM63" s="45"/>
      <c r="SN63" s="45"/>
      <c r="SO63" s="45"/>
      <c r="SP63" s="45"/>
      <c r="SQ63" s="45"/>
      <c r="SR63" s="45"/>
      <c r="SS63" s="45"/>
      <c r="ST63" s="45"/>
      <c r="SU63" s="45"/>
      <c r="SV63" s="45"/>
      <c r="SW63" s="45"/>
      <c r="SZ63" s="45"/>
      <c r="TA63" s="45"/>
      <c r="TB63" s="45"/>
      <c r="TC63" s="45"/>
      <c r="TD63" s="45"/>
      <c r="TE63" s="45"/>
      <c r="TF63" s="45"/>
      <c r="TG63" s="45"/>
      <c r="TH63" s="45"/>
      <c r="TI63" s="45"/>
      <c r="TJ63" s="45"/>
      <c r="TM63" s="45"/>
      <c r="TN63" s="45"/>
      <c r="TO63" s="45"/>
      <c r="TP63" s="45"/>
      <c r="TQ63" s="45"/>
      <c r="TR63" s="45"/>
      <c r="TS63" s="45"/>
      <c r="TT63" s="45"/>
      <c r="TU63" s="45"/>
      <c r="TV63" s="45"/>
      <c r="TW63" s="45"/>
      <c r="TZ63" s="45"/>
      <c r="UA63" s="45"/>
      <c r="UB63" s="45"/>
      <c r="UC63" s="45"/>
      <c r="UD63" s="45"/>
      <c r="UE63" s="45"/>
      <c r="UF63" s="45"/>
      <c r="UG63" s="45"/>
      <c r="UH63" s="45"/>
      <c r="UI63" s="45"/>
      <c r="UJ63" s="45"/>
      <c r="UM63" s="45"/>
      <c r="UN63" s="45"/>
      <c r="UO63" s="45"/>
      <c r="UP63" s="45"/>
      <c r="UQ63" s="45"/>
      <c r="UR63" s="45"/>
      <c r="US63" s="45"/>
      <c r="UT63" s="45"/>
      <c r="UU63" s="45"/>
      <c r="UV63" s="45"/>
      <c r="UW63" s="45"/>
      <c r="UZ63" s="45"/>
      <c r="VA63" s="45"/>
      <c r="VB63" s="45"/>
      <c r="VC63" s="45"/>
      <c r="VD63" s="45"/>
      <c r="VE63" s="45"/>
      <c r="VF63" s="45"/>
      <c r="VG63" s="45"/>
      <c r="VH63" s="45"/>
      <c r="VI63" s="45"/>
      <c r="VJ63" s="45"/>
      <c r="VM63" s="45"/>
      <c r="VN63" s="45"/>
      <c r="VO63" s="45"/>
      <c r="VP63" s="45"/>
      <c r="VQ63" s="45"/>
      <c r="VR63" s="45"/>
      <c r="VS63" s="45"/>
      <c r="VT63" s="45"/>
      <c r="VU63" s="45"/>
      <c r="VV63" s="45"/>
      <c r="VW63" s="45"/>
      <c r="VZ63" s="45"/>
      <c r="WA63" s="45"/>
      <c r="WB63" s="45"/>
      <c r="WC63" s="45"/>
      <c r="WD63" s="45"/>
      <c r="WE63" s="45"/>
      <c r="WF63" s="45"/>
      <c r="WG63" s="45"/>
      <c r="WH63" s="45"/>
      <c r="WI63" s="45"/>
      <c r="WJ63" s="45"/>
      <c r="WM63" s="45"/>
      <c r="WN63" s="45"/>
      <c r="WO63" s="45"/>
      <c r="WP63" s="45"/>
      <c r="WQ63" s="45"/>
      <c r="WR63" s="45"/>
      <c r="WS63" s="45"/>
      <c r="WT63" s="45"/>
      <c r="WU63" s="45"/>
      <c r="WV63" s="45"/>
      <c r="WW63" s="45"/>
      <c r="WZ63" s="45"/>
      <c r="XA63" s="45"/>
      <c r="XB63" s="45"/>
      <c r="XC63" s="45"/>
      <c r="XD63" s="45"/>
      <c r="XE63" s="45"/>
      <c r="XF63" s="45"/>
      <c r="XG63" s="45"/>
      <c r="XH63" s="45"/>
      <c r="XI63" s="45"/>
      <c r="XJ63" s="45"/>
      <c r="XM63" s="45"/>
      <c r="XN63" s="45"/>
      <c r="XO63" s="45"/>
      <c r="XP63" s="45"/>
      <c r="XQ63" s="45"/>
      <c r="XR63" s="45"/>
      <c r="XS63" s="45"/>
      <c r="XT63" s="45"/>
      <c r="XU63" s="45"/>
      <c r="XV63" s="45"/>
      <c r="XW63" s="45"/>
      <c r="XZ63" s="45"/>
      <c r="YA63" s="45"/>
      <c r="YB63" s="45"/>
      <c r="YC63" s="45"/>
      <c r="YD63" s="45"/>
      <c r="YE63" s="45"/>
      <c r="YF63" s="45"/>
      <c r="YG63" s="45"/>
      <c r="YH63" s="45"/>
      <c r="YI63" s="45"/>
      <c r="YJ63" s="45"/>
    </row>
    <row r="64" spans="1:660">
      <c r="B64" s="45"/>
      <c r="C64" s="45"/>
      <c r="D64" s="45"/>
      <c r="E64" s="45"/>
      <c r="F64" s="168"/>
      <c r="G64" s="45"/>
      <c r="H64" s="45"/>
      <c r="I64" s="45"/>
      <c r="J64" s="45"/>
      <c r="K64" s="45"/>
      <c r="L64" s="45"/>
      <c r="P64" s="45"/>
      <c r="Q64" s="45"/>
      <c r="R64" s="45"/>
      <c r="S64" s="45"/>
      <c r="T64" s="168"/>
      <c r="U64" s="45"/>
      <c r="V64" s="45"/>
      <c r="W64" s="45"/>
      <c r="X64" s="45"/>
      <c r="Y64" s="45"/>
      <c r="Z64" s="45"/>
      <c r="AD64" s="45"/>
      <c r="AE64" s="45"/>
      <c r="AF64" s="45"/>
      <c r="AG64" s="45"/>
      <c r="AH64" s="168"/>
      <c r="AI64" s="45"/>
      <c r="AJ64" s="45"/>
      <c r="AK64" s="45"/>
      <c r="AL64" s="45"/>
      <c r="AM64" s="45"/>
      <c r="AN64" s="45"/>
      <c r="AR64" s="45"/>
      <c r="AS64" s="45"/>
      <c r="AT64" s="45"/>
      <c r="AU64" s="45"/>
      <c r="AV64" s="168"/>
      <c r="AW64" s="45"/>
      <c r="AX64" s="45"/>
      <c r="AY64" s="45"/>
      <c r="AZ64" s="45"/>
      <c r="BA64" s="45"/>
      <c r="BB64" s="45"/>
      <c r="BF64" s="45"/>
      <c r="BG64" s="45"/>
      <c r="BH64" s="45"/>
      <c r="BI64" s="45"/>
      <c r="BJ64" s="168"/>
      <c r="BK64" s="45"/>
      <c r="BL64" s="45"/>
      <c r="BM64" s="45"/>
      <c r="BN64" s="45"/>
      <c r="BO64" s="45"/>
      <c r="BP64" s="45"/>
      <c r="BT64" s="45"/>
      <c r="BU64" s="45"/>
      <c r="BV64" s="45"/>
      <c r="BW64" s="45"/>
      <c r="BX64" s="168"/>
      <c r="BY64" s="45"/>
      <c r="BZ64" s="45"/>
      <c r="CA64" s="45"/>
      <c r="CB64" s="45"/>
      <c r="CC64" s="45"/>
      <c r="CD64" s="45"/>
      <c r="CH64" s="45"/>
      <c r="CI64" s="45"/>
      <c r="CJ64" s="45"/>
      <c r="CK64" s="45"/>
      <c r="CL64" s="168"/>
      <c r="CM64" s="45"/>
      <c r="CN64" s="45"/>
      <c r="CO64" s="45"/>
      <c r="CP64" s="45"/>
      <c r="CQ64" s="45"/>
      <c r="CR64" s="45"/>
      <c r="CV64" s="45"/>
      <c r="CW64" s="45"/>
      <c r="CX64" s="45"/>
      <c r="CY64" s="45"/>
      <c r="CZ64" s="168"/>
      <c r="DA64" s="45"/>
      <c r="DB64" s="45"/>
      <c r="DC64" s="45"/>
      <c r="DD64" s="45"/>
      <c r="DE64" s="45"/>
      <c r="DF64" s="45"/>
      <c r="DJ64" s="45"/>
      <c r="DK64" s="45"/>
      <c r="DL64" s="45"/>
      <c r="DM64" s="45"/>
      <c r="DN64" s="168"/>
      <c r="DO64" s="45"/>
      <c r="DP64" s="45"/>
      <c r="DQ64" s="45"/>
      <c r="DR64" s="45"/>
      <c r="DS64" s="45"/>
      <c r="DT64" s="45"/>
      <c r="DX64" s="45"/>
      <c r="DY64" s="45"/>
      <c r="DZ64" s="45"/>
      <c r="EA64" s="45"/>
      <c r="EB64" s="168"/>
      <c r="EC64" s="45"/>
      <c r="ED64" s="45"/>
      <c r="EE64" s="45"/>
      <c r="EF64" s="45"/>
      <c r="EG64" s="45"/>
      <c r="EH64" s="45"/>
      <c r="EL64" s="45"/>
      <c r="EM64" s="45"/>
      <c r="EN64" s="45"/>
      <c r="EO64" s="45"/>
      <c r="EP64" s="168"/>
      <c r="EQ64" s="45"/>
      <c r="ER64" s="45"/>
      <c r="ES64" s="45"/>
      <c r="ET64" s="45"/>
      <c r="EU64" s="45"/>
      <c r="EV64" s="45"/>
      <c r="EZ64" s="45"/>
      <c r="FA64" s="45"/>
      <c r="FB64" s="45"/>
      <c r="FC64" s="45"/>
      <c r="FD64" s="168"/>
      <c r="FE64" s="45"/>
      <c r="FF64" s="45"/>
      <c r="FG64" s="45"/>
      <c r="FH64" s="45"/>
      <c r="FI64" s="45"/>
      <c r="FJ64" s="45"/>
      <c r="FN64" s="45"/>
      <c r="FO64" s="45"/>
      <c r="FP64" s="45"/>
      <c r="FQ64" s="45"/>
      <c r="FR64" s="168"/>
      <c r="FS64" s="45"/>
      <c r="FT64" s="45"/>
      <c r="FU64" s="45"/>
      <c r="FV64" s="45"/>
      <c r="FW64" s="45"/>
      <c r="FX64" s="45"/>
      <c r="GB64" s="45"/>
      <c r="GC64" s="45"/>
      <c r="GD64" s="45"/>
      <c r="GE64" s="45"/>
      <c r="GF64" s="168"/>
      <c r="GG64" s="45"/>
      <c r="GH64" s="45"/>
      <c r="GI64" s="45"/>
      <c r="GJ64" s="45"/>
      <c r="GK64" s="45"/>
      <c r="GL64" s="45"/>
      <c r="GP64" s="45"/>
      <c r="GQ64" s="45"/>
      <c r="GR64" s="45"/>
      <c r="GS64" s="45"/>
      <c r="GT64" s="168"/>
      <c r="GU64" s="45"/>
      <c r="GV64" s="45"/>
      <c r="GW64" s="45"/>
      <c r="GX64" s="45"/>
      <c r="GY64" s="45"/>
      <c r="GZ64" s="45"/>
      <c r="HD64" s="45"/>
      <c r="HE64" s="45"/>
      <c r="HF64" s="45"/>
      <c r="HG64" s="45"/>
      <c r="HH64" s="168"/>
      <c r="HI64" s="45"/>
      <c r="HJ64" s="45"/>
      <c r="HK64" s="45"/>
      <c r="HL64" s="45"/>
      <c r="HM64" s="45"/>
      <c r="HN64" s="45"/>
      <c r="HR64" s="45"/>
      <c r="HS64" s="45"/>
      <c r="HT64" s="45"/>
      <c r="HU64" s="45"/>
      <c r="HV64" s="168"/>
      <c r="HW64" s="45"/>
      <c r="HX64" s="45"/>
      <c r="HY64" s="45"/>
      <c r="HZ64" s="45"/>
      <c r="IA64" s="45"/>
      <c r="IB64" s="45"/>
      <c r="IF64" s="45"/>
      <c r="IG64" s="45"/>
      <c r="IH64" s="45"/>
      <c r="II64" s="45"/>
      <c r="IJ64" s="168"/>
      <c r="IK64" s="45"/>
      <c r="IL64" s="45"/>
      <c r="IM64" s="45"/>
      <c r="IN64" s="45"/>
      <c r="IO64" s="45"/>
      <c r="IP64" s="45"/>
      <c r="IT64" s="45"/>
      <c r="IU64" s="45"/>
      <c r="IV64" s="45"/>
      <c r="IW64" s="45"/>
      <c r="IX64" s="168"/>
      <c r="IY64" s="45"/>
      <c r="IZ64" s="45"/>
      <c r="JA64" s="45"/>
      <c r="JB64" s="45"/>
      <c r="JC64" s="45"/>
      <c r="JD64" s="45"/>
      <c r="JH64" s="45"/>
      <c r="JI64" s="45"/>
      <c r="JJ64" s="45"/>
      <c r="JK64" s="45"/>
      <c r="JL64" s="168"/>
      <c r="JM64" s="45"/>
      <c r="JN64" s="45"/>
      <c r="JO64" s="45"/>
      <c r="JP64" s="45"/>
      <c r="JQ64" s="45"/>
      <c r="JR64" s="45"/>
      <c r="JV64" s="45"/>
      <c r="JW64" s="45"/>
      <c r="JX64" s="45"/>
      <c r="JY64" s="45"/>
      <c r="JZ64" s="168"/>
      <c r="KA64" s="45"/>
      <c r="KB64" s="45"/>
      <c r="KC64" s="45"/>
      <c r="KD64" s="45"/>
      <c r="KE64" s="45"/>
      <c r="KF64" s="45"/>
      <c r="KJ64" s="45"/>
      <c r="KK64" s="45"/>
      <c r="KL64" s="45"/>
      <c r="KM64" s="45"/>
      <c r="KN64" s="168"/>
      <c r="KO64" s="45"/>
      <c r="KP64" s="45"/>
      <c r="KQ64" s="45"/>
      <c r="KR64" s="45"/>
      <c r="KS64" s="45"/>
      <c r="KT64" s="45"/>
      <c r="KX64" s="45"/>
      <c r="KY64" s="45"/>
      <c r="KZ64" s="45"/>
      <c r="LA64" s="45"/>
      <c r="LB64" s="45"/>
      <c r="LC64" s="45"/>
      <c r="LD64" s="45"/>
      <c r="LE64" s="45"/>
      <c r="LF64" s="45"/>
      <c r="LG64" s="45"/>
      <c r="LH64" s="45"/>
      <c r="LK64" s="45"/>
      <c r="LL64" s="45"/>
      <c r="LM64" s="45"/>
      <c r="LN64" s="45"/>
      <c r="LO64" s="45"/>
      <c r="LP64" s="45"/>
      <c r="LQ64" s="45"/>
      <c r="LR64" s="45"/>
      <c r="LS64" s="45"/>
      <c r="LT64" s="45"/>
      <c r="LU64" s="45"/>
      <c r="LV64" s="45"/>
      <c r="LX64" s="45"/>
      <c r="LY64" s="45"/>
      <c r="LZ64" s="45"/>
      <c r="MA64" s="45"/>
      <c r="MB64" s="168"/>
      <c r="MC64" s="45"/>
      <c r="MD64" s="45"/>
      <c r="ME64" s="45"/>
      <c r="MF64" s="45"/>
      <c r="MG64" s="45"/>
      <c r="MH64" s="45"/>
      <c r="ML64" s="45"/>
      <c r="MM64" s="45"/>
      <c r="MN64" s="45"/>
      <c r="MO64" s="45"/>
      <c r="MP64" s="168"/>
      <c r="MQ64" s="45"/>
      <c r="MR64" s="45"/>
      <c r="MS64" s="45"/>
      <c r="MT64" s="45"/>
      <c r="MU64" s="45"/>
      <c r="MV64" s="45"/>
      <c r="MZ64" s="45"/>
      <c r="NA64" s="45"/>
      <c r="NB64" s="45"/>
      <c r="NC64" s="45"/>
      <c r="ND64" s="45"/>
      <c r="NE64" s="45"/>
      <c r="NF64" s="45"/>
      <c r="NG64" s="45"/>
      <c r="NH64" s="45"/>
      <c r="NI64" s="45"/>
      <c r="NJ64" s="45"/>
      <c r="NM64" s="45"/>
      <c r="NN64" s="45"/>
      <c r="NO64" s="45"/>
      <c r="NP64" s="45"/>
      <c r="NQ64" s="45"/>
      <c r="NR64" s="45"/>
      <c r="NS64" s="45"/>
      <c r="NT64" s="45"/>
      <c r="NU64" s="45"/>
      <c r="NV64" s="45"/>
      <c r="NW64" s="45"/>
      <c r="NZ64" s="45"/>
      <c r="OA64" s="45"/>
      <c r="OB64" s="45"/>
      <c r="OC64" s="45"/>
      <c r="OD64" s="45"/>
      <c r="OE64" s="45"/>
      <c r="OF64" s="45"/>
      <c r="OG64" s="45"/>
      <c r="OH64" s="45"/>
      <c r="OI64" s="45"/>
      <c r="OJ64" s="45"/>
      <c r="OM64" s="45"/>
      <c r="ON64" s="45"/>
      <c r="OO64" s="45"/>
      <c r="OP64" s="45"/>
      <c r="OQ64" s="45"/>
      <c r="OR64" s="45"/>
      <c r="OS64" s="45"/>
      <c r="OT64" s="45"/>
      <c r="OU64" s="45"/>
      <c r="OV64" s="45"/>
      <c r="OW64" s="45"/>
      <c r="OZ64" s="45"/>
      <c r="PA64" s="45"/>
      <c r="PB64" s="45"/>
      <c r="PC64" s="45"/>
      <c r="PD64" s="45"/>
      <c r="PE64" s="45"/>
      <c r="PF64" s="45"/>
      <c r="PG64" s="45"/>
      <c r="PH64" s="45"/>
      <c r="PI64" s="45"/>
      <c r="PJ64" s="45"/>
      <c r="PM64" s="45"/>
      <c r="PN64" s="45"/>
      <c r="PO64" s="45"/>
      <c r="PP64" s="45"/>
      <c r="PQ64" s="45"/>
      <c r="PR64" s="45"/>
      <c r="PS64" s="45"/>
      <c r="PT64" s="45"/>
      <c r="PU64" s="45"/>
      <c r="PV64" s="45"/>
      <c r="PW64" s="45"/>
      <c r="PZ64" s="45"/>
      <c r="QA64" s="45"/>
      <c r="QB64" s="45"/>
      <c r="QC64" s="45"/>
      <c r="QD64" s="45"/>
      <c r="QE64" s="45"/>
      <c r="QF64" s="45"/>
      <c r="QG64" s="45"/>
      <c r="QH64" s="45"/>
      <c r="QI64" s="45"/>
      <c r="QJ64" s="45"/>
      <c r="QM64" s="45"/>
      <c r="QN64" s="45"/>
      <c r="QO64" s="45"/>
      <c r="QP64" s="45"/>
      <c r="QQ64" s="45"/>
      <c r="QR64" s="45"/>
      <c r="QS64" s="45"/>
      <c r="QT64" s="45"/>
      <c r="QU64" s="45"/>
      <c r="QV64" s="45"/>
      <c r="QW64" s="45"/>
      <c r="QZ64" s="45"/>
      <c r="RA64" s="45"/>
      <c r="RB64" s="45"/>
      <c r="RC64" s="45"/>
      <c r="RD64" s="45"/>
      <c r="RE64" s="45"/>
      <c r="RF64" s="45"/>
      <c r="RG64" s="45"/>
      <c r="RH64" s="45"/>
      <c r="RI64" s="45"/>
      <c r="RJ64" s="45"/>
      <c r="RM64" s="45"/>
      <c r="RN64" s="45"/>
      <c r="RO64" s="45"/>
      <c r="RP64" s="45"/>
      <c r="RQ64" s="45"/>
      <c r="RR64" s="45"/>
      <c r="RS64" s="45"/>
      <c r="RT64" s="45"/>
      <c r="RU64" s="45"/>
      <c r="RV64" s="45"/>
      <c r="RW64" s="45"/>
      <c r="RZ64" s="45"/>
      <c r="SA64" s="45"/>
      <c r="SB64" s="45"/>
      <c r="SC64" s="45"/>
      <c r="SD64" s="45"/>
      <c r="SE64" s="45"/>
      <c r="SF64" s="45"/>
      <c r="SG64" s="45"/>
      <c r="SH64" s="45"/>
      <c r="SI64" s="45"/>
      <c r="SJ64" s="45"/>
      <c r="SM64" s="45"/>
      <c r="SN64" s="45"/>
      <c r="SO64" s="45"/>
      <c r="SP64" s="45"/>
      <c r="SQ64" s="45"/>
      <c r="SR64" s="45"/>
      <c r="SS64" s="45"/>
      <c r="ST64" s="45"/>
      <c r="SU64" s="45"/>
      <c r="SV64" s="45"/>
      <c r="SW64" s="45"/>
      <c r="SZ64" s="45"/>
      <c r="TA64" s="45"/>
      <c r="TB64" s="45"/>
      <c r="TC64" s="45"/>
      <c r="TD64" s="45"/>
      <c r="TE64" s="45"/>
      <c r="TF64" s="45"/>
      <c r="TG64" s="45"/>
      <c r="TH64" s="45"/>
      <c r="TI64" s="45"/>
      <c r="TJ64" s="45"/>
      <c r="TM64" s="45"/>
      <c r="TN64" s="45"/>
      <c r="TO64" s="45"/>
      <c r="TP64" s="45"/>
      <c r="TQ64" s="45"/>
      <c r="TR64" s="45"/>
      <c r="TS64" s="45"/>
      <c r="TT64" s="45"/>
      <c r="TU64" s="45"/>
      <c r="TV64" s="45"/>
      <c r="TW64" s="45"/>
      <c r="TZ64" s="45"/>
      <c r="UA64" s="45"/>
      <c r="UB64" s="45"/>
      <c r="UC64" s="45"/>
      <c r="UD64" s="45"/>
      <c r="UE64" s="45"/>
      <c r="UF64" s="45"/>
      <c r="UG64" s="45"/>
      <c r="UH64" s="45"/>
      <c r="UI64" s="45"/>
      <c r="UJ64" s="45"/>
      <c r="UM64" s="45"/>
      <c r="UN64" s="45"/>
      <c r="UO64" s="45"/>
      <c r="UP64" s="45"/>
      <c r="UQ64" s="45"/>
      <c r="UR64" s="45"/>
      <c r="US64" s="45"/>
      <c r="UT64" s="45"/>
      <c r="UU64" s="45"/>
      <c r="UV64" s="45"/>
      <c r="UW64" s="45"/>
      <c r="UZ64" s="45"/>
      <c r="VA64" s="45"/>
      <c r="VB64" s="45"/>
      <c r="VC64" s="45"/>
      <c r="VD64" s="45"/>
      <c r="VE64" s="45"/>
      <c r="VF64" s="45"/>
      <c r="VG64" s="45"/>
      <c r="VH64" s="45"/>
      <c r="VI64" s="45"/>
      <c r="VJ64" s="45"/>
      <c r="VM64" s="45"/>
      <c r="VN64" s="45"/>
      <c r="VO64" s="45"/>
      <c r="VP64" s="45"/>
      <c r="VQ64" s="45"/>
      <c r="VR64" s="45"/>
      <c r="VS64" s="45"/>
      <c r="VT64" s="45"/>
      <c r="VU64" s="45"/>
      <c r="VV64" s="45"/>
      <c r="VW64" s="45"/>
      <c r="VZ64" s="45"/>
      <c r="WA64" s="45"/>
      <c r="WB64" s="45"/>
      <c r="WC64" s="45"/>
      <c r="WD64" s="45"/>
      <c r="WE64" s="45"/>
      <c r="WF64" s="45"/>
      <c r="WG64" s="45"/>
      <c r="WH64" s="45"/>
      <c r="WI64" s="45"/>
      <c r="WJ64" s="45"/>
      <c r="WM64" s="45"/>
      <c r="WN64" s="45"/>
      <c r="WO64" s="45"/>
      <c r="WP64" s="45"/>
      <c r="WQ64" s="45"/>
      <c r="WR64" s="45"/>
      <c r="WS64" s="45"/>
      <c r="WT64" s="45"/>
      <c r="WU64" s="45"/>
      <c r="WV64" s="45"/>
      <c r="WW64" s="45"/>
      <c r="WZ64" s="45"/>
      <c r="XA64" s="45"/>
      <c r="XB64" s="45"/>
      <c r="XC64" s="45"/>
      <c r="XD64" s="45"/>
      <c r="XE64" s="45"/>
      <c r="XF64" s="45"/>
      <c r="XG64" s="45"/>
      <c r="XH64" s="45"/>
      <c r="XI64" s="45"/>
      <c r="XJ64" s="45"/>
      <c r="XM64" s="45"/>
      <c r="XN64" s="45"/>
      <c r="XO64" s="45"/>
      <c r="XP64" s="45"/>
      <c r="XQ64" s="45"/>
      <c r="XR64" s="45"/>
      <c r="XS64" s="45"/>
      <c r="XT64" s="45"/>
      <c r="XU64" s="45"/>
      <c r="XV64" s="45"/>
      <c r="XW64" s="45"/>
      <c r="XZ64" s="45"/>
      <c r="YA64" s="45"/>
      <c r="YB64" s="45"/>
      <c r="YC64" s="45"/>
      <c r="YD64" s="45"/>
      <c r="YE64" s="45"/>
      <c r="YF64" s="45"/>
      <c r="YG64" s="45"/>
      <c r="YH64" s="45"/>
      <c r="YI64" s="45"/>
      <c r="YJ64" s="45"/>
    </row>
    <row r="65" spans="6:354" s="45" customFormat="1">
      <c r="F65" s="168"/>
      <c r="T65" s="168"/>
      <c r="AH65" s="168"/>
      <c r="AV65" s="168"/>
      <c r="BJ65" s="168"/>
      <c r="BX65" s="168"/>
      <c r="CL65" s="168"/>
      <c r="CZ65" s="168"/>
      <c r="DN65" s="168"/>
      <c r="EB65" s="168"/>
      <c r="EP65" s="168"/>
      <c r="FD65" s="168"/>
      <c r="FR65" s="168"/>
      <c r="GF65" s="168"/>
      <c r="GT65" s="168"/>
      <c r="HH65" s="168"/>
      <c r="HV65" s="168"/>
      <c r="IJ65" s="168"/>
      <c r="IX65" s="168"/>
      <c r="JL65" s="168"/>
      <c r="JZ65" s="168"/>
      <c r="KN65" s="168"/>
      <c r="MB65" s="168"/>
      <c r="MP65" s="168"/>
    </row>
    <row r="66" spans="6:354" s="45" customFormat="1">
      <c r="F66" s="168"/>
      <c r="T66" s="168"/>
      <c r="AH66" s="168"/>
      <c r="AV66" s="168"/>
      <c r="BJ66" s="168"/>
      <c r="BX66" s="168"/>
      <c r="CL66" s="168"/>
      <c r="CZ66" s="168"/>
      <c r="DN66" s="168"/>
      <c r="EB66" s="168"/>
      <c r="EP66" s="168"/>
      <c r="FD66" s="168"/>
      <c r="FR66" s="168"/>
      <c r="GF66" s="168"/>
      <c r="GT66" s="168"/>
      <c r="HH66" s="168"/>
      <c r="HV66" s="168"/>
      <c r="IJ66" s="168"/>
      <c r="IX66" s="168"/>
      <c r="JL66" s="168"/>
      <c r="JZ66" s="168"/>
      <c r="KN66" s="168"/>
      <c r="MB66" s="168"/>
      <c r="MP66" s="168"/>
    </row>
    <row r="67" spans="6:354" s="45" customFormat="1">
      <c r="F67" s="168"/>
      <c r="T67" s="168"/>
      <c r="AH67" s="168"/>
      <c r="AV67" s="168"/>
      <c r="BJ67" s="168"/>
      <c r="BX67" s="168"/>
      <c r="CL67" s="168"/>
      <c r="CZ67" s="168"/>
      <c r="DN67" s="168"/>
      <c r="EB67" s="168"/>
      <c r="EP67" s="168"/>
      <c r="FD67" s="168"/>
      <c r="FR67" s="168"/>
      <c r="GF67" s="168"/>
      <c r="GT67" s="168"/>
      <c r="HH67" s="168"/>
      <c r="HV67" s="168"/>
      <c r="IJ67" s="168"/>
      <c r="IX67" s="168"/>
      <c r="JL67" s="168"/>
      <c r="JZ67" s="168"/>
      <c r="KN67" s="168"/>
      <c r="MB67" s="168"/>
      <c r="MP67" s="168"/>
    </row>
    <row r="68" spans="6:354" s="45" customFormat="1">
      <c r="F68" s="168"/>
      <c r="T68" s="168"/>
      <c r="AH68" s="168"/>
      <c r="AV68" s="168"/>
      <c r="BJ68" s="168"/>
      <c r="BX68" s="168"/>
      <c r="CL68" s="168"/>
      <c r="CZ68" s="168"/>
      <c r="DN68" s="168"/>
      <c r="EB68" s="168"/>
      <c r="EP68" s="168"/>
      <c r="FD68" s="168"/>
      <c r="FR68" s="168"/>
      <c r="GF68" s="168"/>
      <c r="GT68" s="168"/>
      <c r="HH68" s="168"/>
      <c r="HV68" s="168"/>
      <c r="IJ68" s="168"/>
      <c r="IX68" s="168"/>
      <c r="JL68" s="168"/>
      <c r="JZ68" s="168"/>
      <c r="KN68" s="168"/>
      <c r="MB68" s="168"/>
      <c r="MP68" s="168"/>
    </row>
    <row r="69" spans="6:354" s="45" customFormat="1">
      <c r="F69" s="168"/>
      <c r="T69" s="168"/>
      <c r="AH69" s="168"/>
      <c r="AV69" s="168"/>
      <c r="BJ69" s="168"/>
      <c r="BX69" s="168"/>
      <c r="CL69" s="168"/>
      <c r="CZ69" s="168"/>
      <c r="DN69" s="168"/>
      <c r="EB69" s="168"/>
      <c r="EP69" s="168"/>
      <c r="FD69" s="168"/>
      <c r="FR69" s="168"/>
      <c r="GF69" s="168"/>
      <c r="GT69" s="168"/>
      <c r="HH69" s="168"/>
      <c r="HV69" s="168"/>
      <c r="IJ69" s="168"/>
      <c r="IX69" s="168"/>
      <c r="JL69" s="168"/>
      <c r="JZ69" s="168"/>
      <c r="KN69" s="168"/>
      <c r="MB69" s="168"/>
      <c r="MP69" s="168"/>
    </row>
    <row r="70" spans="6:354" s="45" customFormat="1">
      <c r="F70" s="168"/>
      <c r="T70" s="168"/>
      <c r="AH70" s="168"/>
      <c r="AV70" s="168"/>
      <c r="BJ70" s="168"/>
      <c r="BX70" s="168"/>
      <c r="CL70" s="168"/>
      <c r="CZ70" s="168"/>
      <c r="DN70" s="168"/>
      <c r="EB70" s="168"/>
      <c r="EP70" s="168"/>
      <c r="FD70" s="168"/>
      <c r="FR70" s="168"/>
      <c r="GF70" s="168"/>
      <c r="GT70" s="168"/>
      <c r="HH70" s="168"/>
      <c r="HV70" s="168"/>
      <c r="IJ70" s="168"/>
      <c r="IX70" s="168"/>
      <c r="JL70" s="168"/>
      <c r="JZ70" s="168"/>
      <c r="KN70" s="168"/>
      <c r="MB70" s="168"/>
      <c r="MP70" s="168"/>
    </row>
    <row r="71" spans="6:354" s="45" customFormat="1">
      <c r="F71" s="168"/>
      <c r="T71" s="168"/>
      <c r="AH71" s="168"/>
      <c r="AV71" s="168"/>
      <c r="BJ71" s="168"/>
      <c r="BX71" s="168"/>
      <c r="CL71" s="168"/>
      <c r="CZ71" s="168"/>
      <c r="DN71" s="168"/>
      <c r="EB71" s="168"/>
      <c r="EP71" s="168"/>
      <c r="FD71" s="168"/>
      <c r="FR71" s="168"/>
      <c r="GF71" s="168"/>
      <c r="GT71" s="168"/>
      <c r="HH71" s="168"/>
      <c r="HV71" s="168"/>
      <c r="IJ71" s="168"/>
      <c r="IX71" s="168"/>
      <c r="JL71" s="168"/>
      <c r="JZ71" s="168"/>
      <c r="KN71" s="168"/>
      <c r="MB71" s="168"/>
      <c r="MP71" s="168"/>
    </row>
    <row r="72" spans="6:354" s="45" customFormat="1">
      <c r="F72" s="168"/>
      <c r="T72" s="168"/>
      <c r="AH72" s="168"/>
      <c r="AV72" s="168"/>
      <c r="BJ72" s="168"/>
      <c r="BX72" s="168"/>
      <c r="CL72" s="168"/>
      <c r="CZ72" s="168"/>
      <c r="DN72" s="168"/>
      <c r="EB72" s="168"/>
      <c r="EP72" s="168"/>
      <c r="FD72" s="168"/>
      <c r="FR72" s="168"/>
      <c r="GF72" s="168"/>
      <c r="GT72" s="168"/>
      <c r="HH72" s="168"/>
      <c r="HV72" s="168"/>
      <c r="IJ72" s="168"/>
      <c r="IX72" s="168"/>
      <c r="JL72" s="168"/>
      <c r="JZ72" s="168"/>
      <c r="KN72" s="168"/>
      <c r="MB72" s="168"/>
      <c r="MP72" s="168"/>
    </row>
    <row r="73" spans="6:354" s="45" customFormat="1">
      <c r="F73" s="168"/>
      <c r="T73" s="168"/>
      <c r="AH73" s="168"/>
      <c r="AV73" s="168"/>
      <c r="BJ73" s="168"/>
      <c r="BX73" s="168"/>
      <c r="CL73" s="168"/>
      <c r="CZ73" s="168"/>
      <c r="DN73" s="168"/>
      <c r="EB73" s="168"/>
      <c r="EP73" s="168"/>
      <c r="FD73" s="168"/>
      <c r="FR73" s="168"/>
      <c r="GF73" s="168"/>
      <c r="GT73" s="168"/>
      <c r="HH73" s="168"/>
      <c r="HV73" s="168"/>
      <c r="IJ73" s="168"/>
      <c r="IX73" s="168"/>
      <c r="JL73" s="168"/>
      <c r="JZ73" s="168"/>
      <c r="KN73" s="168"/>
      <c r="MB73" s="168"/>
      <c r="MP73" s="168"/>
    </row>
    <row r="74" spans="6:354" s="45" customFormat="1">
      <c r="F74" s="168"/>
      <c r="T74" s="168"/>
      <c r="AH74" s="168"/>
      <c r="AV74" s="168"/>
      <c r="BJ74" s="168"/>
      <c r="BX74" s="168"/>
      <c r="CL74" s="168"/>
      <c r="CZ74" s="168"/>
      <c r="DN74" s="168"/>
      <c r="EB74" s="168"/>
      <c r="EP74" s="168"/>
      <c r="FD74" s="168"/>
      <c r="FR74" s="168"/>
      <c r="GF74" s="168"/>
      <c r="GT74" s="168"/>
      <c r="HH74" s="168"/>
      <c r="HV74" s="168"/>
      <c r="IJ74" s="168"/>
      <c r="IX74" s="168"/>
      <c r="JL74" s="168"/>
      <c r="JZ74" s="168"/>
      <c r="KN74" s="168"/>
      <c r="MB74" s="168"/>
      <c r="MP74" s="168"/>
    </row>
    <row r="75" spans="6:354" s="45" customFormat="1">
      <c r="F75" s="168"/>
      <c r="T75" s="168"/>
      <c r="AH75" s="168"/>
      <c r="AV75" s="168"/>
      <c r="BJ75" s="168"/>
      <c r="BX75" s="168"/>
      <c r="CL75" s="168"/>
      <c r="CZ75" s="168"/>
      <c r="DN75" s="168"/>
      <c r="EB75" s="168"/>
      <c r="EP75" s="168"/>
      <c r="FD75" s="168"/>
      <c r="FR75" s="168"/>
      <c r="GF75" s="168"/>
      <c r="GT75" s="168"/>
      <c r="HH75" s="168"/>
      <c r="HV75" s="168"/>
      <c r="IJ75" s="168"/>
      <c r="IX75" s="168"/>
      <c r="JL75" s="168"/>
      <c r="JZ75" s="168"/>
      <c r="KN75" s="168"/>
      <c r="MB75" s="168"/>
      <c r="MP75" s="168"/>
    </row>
    <row r="76" spans="6:354" s="45" customFormat="1">
      <c r="F76" s="168"/>
      <c r="T76" s="168"/>
      <c r="AH76" s="168"/>
      <c r="AV76" s="168"/>
      <c r="BJ76" s="168"/>
      <c r="BX76" s="168"/>
      <c r="CL76" s="168"/>
      <c r="CZ76" s="168"/>
      <c r="DN76" s="168"/>
      <c r="EB76" s="168"/>
      <c r="EP76" s="168"/>
      <c r="FD76" s="168"/>
      <c r="FR76" s="168"/>
      <c r="GF76" s="168"/>
      <c r="GT76" s="168"/>
      <c r="HH76" s="168"/>
      <c r="HV76" s="168"/>
      <c r="IJ76" s="168"/>
      <c r="IX76" s="168"/>
      <c r="JL76" s="168"/>
      <c r="JZ76" s="168"/>
      <c r="KN76" s="168"/>
      <c r="MB76" s="168"/>
      <c r="MP76" s="168"/>
    </row>
    <row r="77" spans="6:354" s="45" customFormat="1">
      <c r="F77" s="168"/>
      <c r="T77" s="168"/>
      <c r="AH77" s="168"/>
      <c r="AV77" s="168"/>
      <c r="BJ77" s="168"/>
      <c r="BX77" s="168"/>
      <c r="CL77" s="168"/>
      <c r="CZ77" s="168"/>
      <c r="DN77" s="168"/>
      <c r="EB77" s="168"/>
      <c r="EP77" s="168"/>
      <c r="FD77" s="168"/>
      <c r="FR77" s="168"/>
      <c r="GF77" s="168"/>
      <c r="GT77" s="168"/>
      <c r="HH77" s="168"/>
      <c r="HV77" s="168"/>
      <c r="IJ77" s="168"/>
      <c r="IX77" s="168"/>
      <c r="JL77" s="168"/>
      <c r="JZ77" s="168"/>
      <c r="KN77" s="168"/>
      <c r="MB77" s="168"/>
      <c r="MP77" s="168"/>
    </row>
    <row r="78" spans="6:354" s="45" customFormat="1">
      <c r="F78" s="168"/>
      <c r="T78" s="168"/>
      <c r="AH78" s="168"/>
      <c r="AV78" s="168"/>
      <c r="BJ78" s="168"/>
      <c r="BX78" s="168"/>
      <c r="CL78" s="168"/>
      <c r="CZ78" s="168"/>
      <c r="DN78" s="168"/>
      <c r="EB78" s="168"/>
      <c r="EP78" s="168"/>
      <c r="FD78" s="168"/>
      <c r="FR78" s="168"/>
      <c r="GF78" s="168"/>
      <c r="GT78" s="168"/>
      <c r="HH78" s="168"/>
      <c r="HV78" s="168"/>
      <c r="IJ78" s="168"/>
      <c r="IX78" s="168"/>
      <c r="JL78" s="168"/>
      <c r="JZ78" s="168"/>
      <c r="KN78" s="168"/>
      <c r="MB78" s="168"/>
      <c r="MP78" s="168"/>
    </row>
    <row r="79" spans="6:354" s="45" customFormat="1">
      <c r="F79" s="168"/>
      <c r="T79" s="168"/>
      <c r="AH79" s="168"/>
      <c r="AV79" s="168"/>
      <c r="BJ79" s="168"/>
      <c r="BX79" s="168"/>
      <c r="CL79" s="168"/>
      <c r="CZ79" s="168"/>
      <c r="DN79" s="168"/>
      <c r="EB79" s="168"/>
      <c r="EP79" s="168"/>
      <c r="FD79" s="168"/>
      <c r="FR79" s="168"/>
      <c r="GF79" s="168"/>
      <c r="GT79" s="168"/>
      <c r="HH79" s="168"/>
      <c r="HV79" s="168"/>
      <c r="IJ79" s="168"/>
      <c r="IX79" s="168"/>
      <c r="JL79" s="168"/>
      <c r="JZ79" s="168"/>
      <c r="KN79" s="168"/>
      <c r="MB79" s="168"/>
      <c r="MP79" s="168"/>
    </row>
    <row r="80" spans="6:354" s="45" customFormat="1">
      <c r="F80" s="168"/>
      <c r="T80" s="168"/>
      <c r="AH80" s="168"/>
      <c r="AV80" s="168"/>
      <c r="BJ80" s="168"/>
      <c r="BX80" s="168"/>
      <c r="CL80" s="168"/>
      <c r="CZ80" s="168"/>
      <c r="DN80" s="168"/>
      <c r="EB80" s="168"/>
      <c r="EP80" s="168"/>
      <c r="FD80" s="168"/>
      <c r="FR80" s="168"/>
      <c r="GF80" s="168"/>
      <c r="GT80" s="168"/>
      <c r="HH80" s="168"/>
      <c r="HV80" s="168"/>
      <c r="IJ80" s="168"/>
      <c r="IX80" s="168"/>
      <c r="JL80" s="168"/>
      <c r="JZ80" s="168"/>
      <c r="KN80" s="168"/>
      <c r="MB80" s="168"/>
      <c r="MP80" s="168"/>
    </row>
    <row r="81" spans="6:354" s="45" customFormat="1">
      <c r="F81" s="168"/>
      <c r="T81" s="168"/>
      <c r="AH81" s="168"/>
      <c r="AV81" s="168"/>
      <c r="BJ81" s="168"/>
      <c r="BX81" s="168"/>
      <c r="CL81" s="168"/>
      <c r="CZ81" s="168"/>
      <c r="DN81" s="168"/>
      <c r="EB81" s="168"/>
      <c r="EP81" s="168"/>
      <c r="FD81" s="168"/>
      <c r="FR81" s="168"/>
      <c r="GF81" s="168"/>
      <c r="GT81" s="168"/>
      <c r="HH81" s="168"/>
      <c r="HV81" s="168"/>
      <c r="IJ81" s="168"/>
      <c r="IX81" s="168"/>
      <c r="JL81" s="168"/>
      <c r="JZ81" s="168"/>
      <c r="KN81" s="168"/>
      <c r="MB81" s="168"/>
      <c r="MP81" s="168"/>
    </row>
    <row r="82" spans="6:354" s="45" customFormat="1">
      <c r="F82" s="168"/>
      <c r="T82" s="168"/>
      <c r="AH82" s="168"/>
      <c r="AV82" s="168"/>
      <c r="BJ82" s="168"/>
      <c r="BX82" s="168"/>
      <c r="CL82" s="168"/>
      <c r="CZ82" s="168"/>
      <c r="DN82" s="168"/>
      <c r="EB82" s="168"/>
      <c r="EP82" s="168"/>
      <c r="FD82" s="168"/>
      <c r="FR82" s="168"/>
      <c r="GF82" s="168"/>
      <c r="GT82" s="168"/>
      <c r="HH82" s="168"/>
      <c r="HV82" s="168"/>
      <c r="IJ82" s="168"/>
      <c r="IX82" s="168"/>
      <c r="JL82" s="168"/>
      <c r="JZ82" s="168"/>
      <c r="KN82" s="168"/>
      <c r="MB82" s="168"/>
      <c r="MP82" s="168"/>
    </row>
    <row r="83" spans="6:354" s="45" customFormat="1">
      <c r="F83" s="168"/>
      <c r="T83" s="168"/>
      <c r="AH83" s="168"/>
      <c r="AV83" s="168"/>
      <c r="BJ83" s="168"/>
      <c r="BX83" s="168"/>
      <c r="CL83" s="168"/>
      <c r="CZ83" s="168"/>
      <c r="DN83" s="168"/>
      <c r="EB83" s="168"/>
      <c r="EP83" s="168"/>
      <c r="FD83" s="168"/>
      <c r="FR83" s="168"/>
      <c r="GF83" s="168"/>
      <c r="GT83" s="168"/>
      <c r="HH83" s="168"/>
      <c r="HV83" s="168"/>
      <c r="IJ83" s="168"/>
      <c r="IX83" s="168"/>
      <c r="JL83" s="168"/>
      <c r="JZ83" s="168"/>
      <c r="KN83" s="168"/>
      <c r="MB83" s="168"/>
      <c r="MP83" s="168"/>
    </row>
    <row r="84" spans="6:354" s="45" customFormat="1">
      <c r="F84" s="168"/>
      <c r="T84" s="168"/>
      <c r="AH84" s="168"/>
      <c r="AV84" s="168"/>
      <c r="BJ84" s="168"/>
      <c r="BX84" s="168"/>
      <c r="CL84" s="168"/>
      <c r="CZ84" s="168"/>
      <c r="DN84" s="168"/>
      <c r="EB84" s="168"/>
      <c r="EP84" s="168"/>
      <c r="FD84" s="168"/>
      <c r="FR84" s="168"/>
      <c r="GF84" s="168"/>
      <c r="GT84" s="168"/>
      <c r="HH84" s="168"/>
      <c r="HV84" s="168"/>
      <c r="IJ84" s="168"/>
      <c r="IX84" s="168"/>
      <c r="JL84" s="168"/>
      <c r="JZ84" s="168"/>
      <c r="KN84" s="168"/>
      <c r="MB84" s="168"/>
      <c r="MP84" s="168"/>
    </row>
    <row r="85" spans="6:354" s="45" customFormat="1">
      <c r="F85" s="168"/>
      <c r="T85" s="168"/>
      <c r="AH85" s="168"/>
      <c r="AV85" s="168"/>
      <c r="BJ85" s="168"/>
      <c r="BX85" s="168"/>
      <c r="CL85" s="168"/>
      <c r="CZ85" s="168"/>
      <c r="DN85" s="168"/>
      <c r="EB85" s="168"/>
      <c r="EP85" s="168"/>
      <c r="FD85" s="168"/>
      <c r="FR85" s="168"/>
      <c r="GF85" s="168"/>
      <c r="GT85" s="168"/>
      <c r="HH85" s="168"/>
      <c r="HV85" s="168"/>
      <c r="IJ85" s="168"/>
      <c r="IX85" s="168"/>
      <c r="JL85" s="168"/>
      <c r="JZ85" s="168"/>
      <c r="KN85" s="168"/>
      <c r="MB85" s="168"/>
      <c r="MP85" s="168"/>
    </row>
    <row r="86" spans="6:354" s="45" customFormat="1">
      <c r="F86" s="168"/>
      <c r="T86" s="168"/>
      <c r="AH86" s="168"/>
      <c r="AV86" s="168"/>
      <c r="BJ86" s="168"/>
      <c r="BX86" s="168"/>
      <c r="CL86" s="168"/>
      <c r="CZ86" s="168"/>
      <c r="DN86" s="168"/>
      <c r="EB86" s="168"/>
      <c r="EP86" s="168"/>
      <c r="FD86" s="168"/>
      <c r="FR86" s="168"/>
      <c r="GF86" s="168"/>
      <c r="GT86" s="168"/>
      <c r="HH86" s="168"/>
      <c r="HV86" s="168"/>
      <c r="IJ86" s="168"/>
      <c r="IX86" s="168"/>
      <c r="JL86" s="168"/>
      <c r="JZ86" s="168"/>
      <c r="KN86" s="168"/>
      <c r="MB86" s="168"/>
      <c r="MP86" s="168"/>
    </row>
    <row r="87" spans="6:354" s="45" customFormat="1">
      <c r="F87" s="168"/>
      <c r="T87" s="168"/>
      <c r="AH87" s="168"/>
      <c r="AV87" s="168"/>
      <c r="BJ87" s="168"/>
      <c r="BX87" s="168"/>
      <c r="CL87" s="168"/>
      <c r="CZ87" s="168"/>
      <c r="DN87" s="168"/>
      <c r="EB87" s="168"/>
      <c r="EP87" s="168"/>
      <c r="FD87" s="168"/>
      <c r="FR87" s="168"/>
      <c r="GF87" s="168"/>
      <c r="GT87" s="168"/>
      <c r="HH87" s="168"/>
      <c r="HV87" s="168"/>
      <c r="IJ87" s="168"/>
      <c r="IX87" s="168"/>
      <c r="JL87" s="168"/>
      <c r="JZ87" s="168"/>
      <c r="KN87" s="168"/>
      <c r="MB87" s="168"/>
      <c r="MP87" s="168"/>
    </row>
    <row r="88" spans="6:354" s="45" customFormat="1">
      <c r="F88" s="168"/>
      <c r="T88" s="168"/>
      <c r="AH88" s="168"/>
      <c r="AV88" s="168"/>
      <c r="BJ88" s="168"/>
      <c r="BX88" s="168"/>
      <c r="CL88" s="168"/>
      <c r="CZ88" s="168"/>
      <c r="DN88" s="168"/>
      <c r="EB88" s="168"/>
      <c r="EP88" s="168"/>
      <c r="FD88" s="168"/>
      <c r="FR88" s="168"/>
      <c r="GF88" s="168"/>
      <c r="GT88" s="168"/>
      <c r="HH88" s="168"/>
      <c r="HV88" s="168"/>
      <c r="IJ88" s="168"/>
      <c r="IX88" s="168"/>
      <c r="JL88" s="168"/>
      <c r="JZ88" s="168"/>
      <c r="KN88" s="168"/>
      <c r="MB88" s="168"/>
      <c r="MP88" s="168"/>
    </row>
    <row r="89" spans="6:354" s="45" customFormat="1">
      <c r="F89" s="168"/>
      <c r="T89" s="168"/>
      <c r="AH89" s="168"/>
      <c r="AV89" s="168"/>
      <c r="BJ89" s="168"/>
      <c r="BX89" s="168"/>
      <c r="CL89" s="168"/>
      <c r="CZ89" s="168"/>
      <c r="DN89" s="168"/>
      <c r="EB89" s="168"/>
      <c r="EP89" s="168"/>
      <c r="FD89" s="168"/>
      <c r="FR89" s="168"/>
      <c r="GF89" s="168"/>
      <c r="GT89" s="168"/>
      <c r="HH89" s="168"/>
      <c r="HV89" s="168"/>
      <c r="IJ89" s="168"/>
      <c r="IX89" s="168"/>
      <c r="JL89" s="168"/>
      <c r="JZ89" s="168"/>
      <c r="KN89" s="168"/>
      <c r="MB89" s="168"/>
      <c r="MP89" s="168"/>
    </row>
    <row r="90" spans="6:354" s="45" customFormat="1">
      <c r="F90" s="168"/>
      <c r="T90" s="168"/>
      <c r="AH90" s="168"/>
      <c r="AV90" s="168"/>
      <c r="BJ90" s="168"/>
      <c r="BX90" s="168"/>
      <c r="CL90" s="168"/>
      <c r="CZ90" s="168"/>
      <c r="DN90" s="168"/>
      <c r="EB90" s="168"/>
      <c r="EP90" s="168"/>
      <c r="FD90" s="168"/>
      <c r="FR90" s="168"/>
      <c r="GF90" s="168"/>
      <c r="GT90" s="168"/>
      <c r="HH90" s="168"/>
      <c r="HV90" s="168"/>
      <c r="IJ90" s="168"/>
      <c r="IX90" s="168"/>
      <c r="JL90" s="168"/>
      <c r="JZ90" s="168"/>
      <c r="KN90" s="168"/>
      <c r="MB90" s="168"/>
      <c r="MP90" s="168"/>
    </row>
    <row r="91" spans="6:354" s="45" customFormat="1">
      <c r="F91" s="168"/>
      <c r="T91" s="168"/>
      <c r="AH91" s="168"/>
      <c r="AV91" s="168"/>
      <c r="BJ91" s="168"/>
      <c r="BX91" s="168"/>
      <c r="CL91" s="168"/>
      <c r="CZ91" s="168"/>
      <c r="DN91" s="168"/>
      <c r="EB91" s="168"/>
      <c r="EP91" s="168"/>
      <c r="FD91" s="168"/>
      <c r="FR91" s="168"/>
      <c r="GF91" s="168"/>
      <c r="GT91" s="168"/>
      <c r="HH91" s="168"/>
      <c r="HV91" s="168"/>
      <c r="IJ91" s="168"/>
      <c r="IX91" s="168"/>
      <c r="JL91" s="168"/>
      <c r="JZ91" s="168"/>
      <c r="KN91" s="168"/>
      <c r="MB91" s="168"/>
      <c r="MP91" s="168"/>
    </row>
    <row r="92" spans="6:354" s="45" customFormat="1">
      <c r="F92" s="168"/>
      <c r="T92" s="168"/>
      <c r="AH92" s="168"/>
      <c r="AV92" s="168"/>
      <c r="BJ92" s="168"/>
      <c r="BX92" s="168"/>
      <c r="CL92" s="168"/>
      <c r="CZ92" s="168"/>
      <c r="DN92" s="168"/>
      <c r="EB92" s="168"/>
      <c r="EP92" s="168"/>
      <c r="FD92" s="168"/>
      <c r="FR92" s="168"/>
      <c r="GF92" s="168"/>
      <c r="GT92" s="168"/>
      <c r="HH92" s="168"/>
      <c r="HV92" s="168"/>
      <c r="IJ92" s="168"/>
      <c r="IX92" s="168"/>
      <c r="JL92" s="168"/>
      <c r="JZ92" s="168"/>
      <c r="KN92" s="168"/>
      <c r="MB92" s="168"/>
      <c r="MP92" s="168"/>
    </row>
  </sheetData>
  <mergeCells count="98">
    <mergeCell ref="JH2:JR2"/>
    <mergeCell ref="JH28:JR28"/>
    <mergeCell ref="HR2:IB2"/>
    <mergeCell ref="HR28:IB28"/>
    <mergeCell ref="IF2:IP2"/>
    <mergeCell ref="IF28:IP28"/>
    <mergeCell ref="IT2:JD2"/>
    <mergeCell ref="IT28:JD28"/>
    <mergeCell ref="LX2:MH2"/>
    <mergeCell ref="LX28:MH28"/>
    <mergeCell ref="NM2:NW2"/>
    <mergeCell ref="NM28:NW28"/>
    <mergeCell ref="MZ2:NJ2"/>
    <mergeCell ref="MZ28:NJ28"/>
    <mergeCell ref="ML2:MV2"/>
    <mergeCell ref="ML28:MV28"/>
    <mergeCell ref="QZ2:RJ2"/>
    <mergeCell ref="QZ28:RJ28"/>
    <mergeCell ref="PM2:PW2"/>
    <mergeCell ref="PM28:PW28"/>
    <mergeCell ref="PZ2:QJ2"/>
    <mergeCell ref="PZ28:QJ28"/>
    <mergeCell ref="QM2:QW2"/>
    <mergeCell ref="QM28:QW28"/>
    <mergeCell ref="NZ2:OJ2"/>
    <mergeCell ref="NZ28:OJ28"/>
    <mergeCell ref="OM2:OW2"/>
    <mergeCell ref="OM28:OW28"/>
    <mergeCell ref="OZ2:PJ2"/>
    <mergeCell ref="OZ28:PJ28"/>
    <mergeCell ref="UZ2:VJ2"/>
    <mergeCell ref="UZ28:VJ28"/>
    <mergeCell ref="WM2:WW2"/>
    <mergeCell ref="WM28:WW28"/>
    <mergeCell ref="VM2:VW2"/>
    <mergeCell ref="VM28:VW28"/>
    <mergeCell ref="VZ2:WJ2"/>
    <mergeCell ref="XM2:XW2"/>
    <mergeCell ref="XZ2:YJ2"/>
    <mergeCell ref="VZ28:WJ28"/>
    <mergeCell ref="XM28:XW28"/>
    <mergeCell ref="XZ28:YJ28"/>
    <mergeCell ref="WZ2:XJ2"/>
    <mergeCell ref="WZ28:XJ28"/>
    <mergeCell ref="TZ2:UJ2"/>
    <mergeCell ref="TZ28:UJ28"/>
    <mergeCell ref="UM2:UW2"/>
    <mergeCell ref="UM28:UW28"/>
    <mergeCell ref="TM2:TW2"/>
    <mergeCell ref="TM28:TW28"/>
    <mergeCell ref="RM2:RW2"/>
    <mergeCell ref="RZ2:SJ2"/>
    <mergeCell ref="SM2:SW2"/>
    <mergeCell ref="SZ2:TJ2"/>
    <mergeCell ref="RM28:RW28"/>
    <mergeCell ref="RZ28:SJ28"/>
    <mergeCell ref="SM28:SW28"/>
    <mergeCell ref="SZ28:TJ28"/>
    <mergeCell ref="JV2:KF2"/>
    <mergeCell ref="KJ2:KT2"/>
    <mergeCell ref="KX2:LH2"/>
    <mergeCell ref="LK2:LU2"/>
    <mergeCell ref="JV28:KF28"/>
    <mergeCell ref="KJ28:KT28"/>
    <mergeCell ref="KX28:LH28"/>
    <mergeCell ref="LK28:LU28"/>
    <mergeCell ref="FN2:FX2"/>
    <mergeCell ref="GB2:GL2"/>
    <mergeCell ref="GP2:GZ2"/>
    <mergeCell ref="HD2:HN2"/>
    <mergeCell ref="FN28:FX28"/>
    <mergeCell ref="GB28:GL28"/>
    <mergeCell ref="GP28:GZ28"/>
    <mergeCell ref="HD28:HN28"/>
    <mergeCell ref="DJ2:DT2"/>
    <mergeCell ref="DX2:EH2"/>
    <mergeCell ref="EL2:EV2"/>
    <mergeCell ref="EZ2:FJ2"/>
    <mergeCell ref="DJ28:DT28"/>
    <mergeCell ref="DX28:EH28"/>
    <mergeCell ref="EL28:EV28"/>
    <mergeCell ref="EZ28:FJ28"/>
    <mergeCell ref="CV2:DF2"/>
    <mergeCell ref="CV28:DF28"/>
    <mergeCell ref="BF2:BP2"/>
    <mergeCell ref="BF28:BP28"/>
    <mergeCell ref="BT2:CD2"/>
    <mergeCell ref="BT28:CD28"/>
    <mergeCell ref="CH2:CR2"/>
    <mergeCell ref="CH28:CR28"/>
    <mergeCell ref="B2:L2"/>
    <mergeCell ref="P2:Z2"/>
    <mergeCell ref="AD2:AN2"/>
    <mergeCell ref="AR2:BB2"/>
    <mergeCell ref="B28:L28"/>
    <mergeCell ref="P28:Z28"/>
    <mergeCell ref="AD28:AN28"/>
    <mergeCell ref="AR28:BB28"/>
  </mergeCells>
  <pageMargins left="0.75" right="0.75" top="1" bottom="1" header="0.5" footer="0.5"/>
  <pageSetup paperSize="9" scale="88" orientation="portrait" r:id="rId1"/>
  <headerFooter alignWithMargins="0">
    <oddHeader>&amp;C Nota nr &amp;A str &amp;P / &amp;N</oddHeader>
    <oddFooter>&amp;C Nota nr &amp;A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7030A0"/>
    <pageSetUpPr fitToPage="1"/>
  </sheetPr>
  <dimension ref="A1:DC95"/>
  <sheetViews>
    <sheetView zoomScale="126" zoomScaleNormal="126"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B2"/>
    </sheetView>
  </sheetViews>
  <sheetFormatPr defaultColWidth="9.1796875" defaultRowHeight="9"/>
  <cols>
    <col min="1" max="1" width="0.81640625" style="5" customWidth="1"/>
    <col min="2" max="2" width="45.453125" style="5" customWidth="1"/>
    <col min="3" max="3" width="0.81640625" style="5" customWidth="1"/>
    <col min="4" max="4" width="11" style="5" customWidth="1"/>
    <col min="5" max="5" width="0.54296875" style="5" customWidth="1"/>
    <col min="6" max="6" width="11" style="5" customWidth="1"/>
    <col min="7" max="7" width="0.54296875" style="5" customWidth="1"/>
    <col min="8" max="8" width="11" style="5" customWidth="1"/>
    <col min="9" max="9" width="0.54296875" style="5" customWidth="1"/>
    <col min="10" max="10" width="11" style="5" customWidth="1"/>
    <col min="11" max="11" width="0.81640625" style="5" customWidth="1"/>
    <col min="12" max="12" width="11" style="5" customWidth="1"/>
    <col min="13" max="13" width="0.54296875" style="5" customWidth="1"/>
    <col min="14" max="14" width="11" style="5" customWidth="1"/>
    <col min="15" max="15" width="0.54296875" style="5" customWidth="1"/>
    <col min="16" max="16" width="11" style="5" customWidth="1"/>
    <col min="17" max="17" width="0.54296875" style="5" customWidth="1"/>
    <col min="18" max="18" width="11" style="5" customWidth="1"/>
    <col min="19" max="19" width="0.81640625" style="5" customWidth="1"/>
    <col min="20" max="20" width="11" style="5" customWidth="1"/>
    <col min="21" max="21" width="0.54296875" style="5" customWidth="1"/>
    <col min="22" max="22" width="11" style="5" customWidth="1"/>
    <col min="23" max="23" width="0.54296875" style="5" customWidth="1"/>
    <col min="24" max="24" width="11" style="5" customWidth="1"/>
    <col min="25" max="25" width="0.54296875" style="5" customWidth="1"/>
    <col min="26" max="26" width="11" style="5" customWidth="1"/>
    <col min="27" max="27" width="0.81640625" style="5" customWidth="1"/>
    <col min="28" max="28" width="11" style="5" customWidth="1"/>
    <col min="29" max="29" width="0.54296875" style="5" customWidth="1"/>
    <col min="30" max="30" width="11" style="5" customWidth="1"/>
    <col min="31" max="31" width="0.54296875" style="5" customWidth="1"/>
    <col min="32" max="32" width="11" style="5" customWidth="1"/>
    <col min="33" max="33" width="0.54296875" style="5" customWidth="1"/>
    <col min="34" max="34" width="11" style="5" customWidth="1"/>
    <col min="35" max="35" width="0.81640625" style="5" customWidth="1"/>
    <col min="36" max="36" width="11" style="5" customWidth="1"/>
    <col min="37" max="37" width="0.54296875" style="5" customWidth="1"/>
    <col min="38" max="38" width="11" style="5" customWidth="1"/>
    <col min="39" max="39" width="0.54296875" style="5" customWidth="1"/>
    <col min="40" max="40" width="11" style="5" customWidth="1"/>
    <col min="41" max="41" width="0.54296875" style="5" customWidth="1"/>
    <col min="42" max="42" width="11" style="5" customWidth="1"/>
    <col min="43" max="43" width="0.81640625" style="5" customWidth="1"/>
    <col min="44" max="44" width="11" style="5" customWidth="1"/>
    <col min="45" max="45" width="0.54296875" style="5" customWidth="1"/>
    <col min="46" max="46" width="11" style="5" customWidth="1"/>
    <col min="47" max="47" width="0.54296875" style="5" customWidth="1"/>
    <col min="48" max="48" width="11" style="5" customWidth="1"/>
    <col min="49" max="49" width="0.54296875" style="5" customWidth="1"/>
    <col min="50" max="50" width="11" style="5" customWidth="1"/>
    <col min="51" max="51" width="0.81640625" style="5" customWidth="1"/>
    <col min="52" max="52" width="11" style="5" customWidth="1"/>
    <col min="53" max="53" width="0.54296875" style="5" customWidth="1"/>
    <col min="54" max="54" width="11" style="5" customWidth="1"/>
    <col min="55" max="55" width="0.54296875" style="5" customWidth="1"/>
    <col min="56" max="56" width="11" style="5" customWidth="1"/>
    <col min="57" max="57" width="0.54296875" style="5" customWidth="1"/>
    <col min="58" max="58" width="11" style="5" customWidth="1"/>
    <col min="59" max="59" width="0.54296875" style="5" customWidth="1"/>
    <col min="60" max="60" width="11" style="5" customWidth="1"/>
    <col min="61" max="61" width="0.54296875" style="5" customWidth="1"/>
    <col min="62" max="62" width="11" style="5" customWidth="1"/>
    <col min="63" max="63" width="0.54296875" style="5" customWidth="1"/>
    <col min="64" max="64" width="11" style="5" customWidth="1"/>
    <col min="65" max="65" width="0.54296875" style="5" customWidth="1"/>
    <col min="66" max="66" width="11" style="5" customWidth="1"/>
    <col min="67" max="67" width="0.54296875" style="5" customWidth="1"/>
    <col min="68" max="68" width="11" style="5" customWidth="1"/>
    <col min="69" max="69" width="0.54296875" style="5" customWidth="1"/>
    <col min="70" max="70" width="11" style="5" customWidth="1"/>
    <col min="71" max="71" width="0.54296875" style="5" customWidth="1"/>
    <col min="72" max="72" width="11" style="5" customWidth="1"/>
    <col min="73" max="73" width="0.54296875" style="5" customWidth="1"/>
    <col min="74" max="74" width="11" style="5" customWidth="1"/>
    <col min="75" max="75" width="0.54296875" style="5" customWidth="1"/>
    <col min="76" max="76" width="11" style="5" customWidth="1"/>
    <col min="77" max="77" width="0.54296875" style="5" customWidth="1"/>
    <col min="78" max="78" width="11" style="5" customWidth="1"/>
    <col min="79" max="79" width="0.54296875" style="5" customWidth="1"/>
    <col min="80" max="80" width="11" style="5" customWidth="1"/>
    <col min="81" max="81" width="0.54296875" style="5" customWidth="1"/>
    <col min="82" max="82" width="11" style="5" customWidth="1"/>
    <col min="83" max="83" width="0.54296875" style="5" customWidth="1"/>
    <col min="84" max="84" width="11" style="5" customWidth="1"/>
    <col min="85" max="85" width="0.54296875" style="5" customWidth="1"/>
    <col min="86" max="86" width="11" style="5" customWidth="1"/>
    <col min="87" max="87" width="0.54296875" style="5" customWidth="1"/>
    <col min="88" max="88" width="11" style="5" customWidth="1"/>
    <col min="89" max="89" width="0.54296875" style="5" customWidth="1"/>
    <col min="90" max="90" width="11" style="5" customWidth="1"/>
    <col min="91" max="91" width="0.54296875" style="5" customWidth="1"/>
    <col min="92" max="92" width="11" style="5" customWidth="1"/>
    <col min="93" max="93" width="0.54296875" style="5" customWidth="1"/>
    <col min="94" max="94" width="12.26953125" style="5" customWidth="1"/>
    <col min="95" max="95" width="0.54296875" style="5" customWidth="1"/>
    <col min="96" max="96" width="12.26953125" style="5" customWidth="1"/>
    <col min="97" max="97" width="0.54296875" style="5" customWidth="1"/>
    <col min="98" max="98" width="12.26953125" style="5" customWidth="1"/>
    <col min="99" max="99" width="0.54296875" style="5" customWidth="1"/>
    <col min="100" max="100" width="12.26953125" style="5" customWidth="1"/>
    <col min="101" max="101" width="0.54296875" style="5" customWidth="1"/>
    <col min="102" max="102" width="12.26953125" style="5" customWidth="1"/>
    <col min="103" max="103" width="0.54296875" style="5" customWidth="1"/>
    <col min="104" max="104" width="12.26953125" style="5" customWidth="1"/>
    <col min="105" max="105" width="0.54296875" style="5" customWidth="1"/>
    <col min="106" max="106" width="12.26953125" style="5" customWidth="1"/>
    <col min="107" max="107" width="0.54296875" style="5" customWidth="1"/>
    <col min="108" max="16384" width="9.1796875" style="5"/>
  </cols>
  <sheetData>
    <row r="1" spans="1:107" s="2" customFormat="1">
      <c r="A1" s="201" t="s">
        <v>211</v>
      </c>
      <c r="B1" s="201"/>
      <c r="D1" s="186">
        <v>45930</v>
      </c>
      <c r="E1" s="187"/>
      <c r="F1" s="188">
        <v>45838</v>
      </c>
      <c r="G1" s="187"/>
      <c r="H1" s="188">
        <v>45747</v>
      </c>
      <c r="I1" s="187"/>
      <c r="J1" s="188">
        <v>45657</v>
      </c>
      <c r="L1" s="186">
        <v>45565</v>
      </c>
      <c r="M1" s="187"/>
      <c r="N1" s="188">
        <v>45473</v>
      </c>
      <c r="O1" s="187"/>
      <c r="P1" s="188">
        <v>45382</v>
      </c>
      <c r="Q1" s="187"/>
      <c r="R1" s="188">
        <v>45291</v>
      </c>
      <c r="T1" s="186">
        <v>45199</v>
      </c>
      <c r="U1" s="187"/>
      <c r="V1" s="188">
        <v>45107</v>
      </c>
      <c r="W1" s="187"/>
      <c r="X1" s="188">
        <v>45016</v>
      </c>
      <c r="Y1" s="187"/>
      <c r="Z1" s="188">
        <v>44926</v>
      </c>
      <c r="AB1" s="186">
        <v>44834</v>
      </c>
      <c r="AC1" s="187"/>
      <c r="AD1" s="188">
        <v>44742</v>
      </c>
      <c r="AE1" s="187"/>
      <c r="AF1" s="188">
        <v>44651</v>
      </c>
      <c r="AG1" s="187"/>
      <c r="AH1" s="188">
        <v>44561</v>
      </c>
      <c r="AJ1" s="71" t="s">
        <v>279</v>
      </c>
      <c r="AL1" s="1" t="s">
        <v>280</v>
      </c>
      <c r="AN1" s="1" t="s">
        <v>281</v>
      </c>
      <c r="AP1" s="1" t="s">
        <v>282</v>
      </c>
      <c r="AR1" s="71" t="s">
        <v>272</v>
      </c>
      <c r="AT1" s="1" t="s">
        <v>271</v>
      </c>
      <c r="AV1" s="1" t="s">
        <v>270</v>
      </c>
      <c r="AX1" s="1" t="s">
        <v>269</v>
      </c>
      <c r="AZ1" s="71" t="s">
        <v>256</v>
      </c>
      <c r="BB1" s="1" t="s">
        <v>255</v>
      </c>
      <c r="BD1" s="1" t="s">
        <v>253</v>
      </c>
      <c r="BF1" s="1" t="s">
        <v>254</v>
      </c>
      <c r="BH1" s="71" t="s">
        <v>234</v>
      </c>
      <c r="BJ1" s="1" t="s">
        <v>235</v>
      </c>
      <c r="BL1" s="1" t="s">
        <v>236</v>
      </c>
      <c r="BN1" s="1" t="s">
        <v>233</v>
      </c>
      <c r="BP1" s="1" t="s">
        <v>232</v>
      </c>
      <c r="BR1" s="1" t="s">
        <v>231</v>
      </c>
      <c r="BT1" s="1" t="s">
        <v>230</v>
      </c>
      <c r="BV1" s="71" t="s">
        <v>217</v>
      </c>
      <c r="BX1" s="1" t="s">
        <v>218</v>
      </c>
      <c r="BZ1" s="1" t="s">
        <v>228</v>
      </c>
      <c r="CB1" s="1" t="s">
        <v>220</v>
      </c>
      <c r="CD1" s="71" t="s">
        <v>212</v>
      </c>
      <c r="CF1" s="1" t="s">
        <v>187</v>
      </c>
      <c r="CH1" s="1" t="s">
        <v>181</v>
      </c>
      <c r="CJ1" s="1" t="s">
        <v>163</v>
      </c>
      <c r="CL1" s="71" t="s">
        <v>162</v>
      </c>
      <c r="CN1" s="1" t="s">
        <v>0</v>
      </c>
      <c r="CP1" s="1" t="s">
        <v>1</v>
      </c>
      <c r="CR1" s="1" t="s">
        <v>2</v>
      </c>
      <c r="CT1" s="71" t="s">
        <v>3</v>
      </c>
      <c r="CV1" s="1" t="s">
        <v>4</v>
      </c>
      <c r="CX1" s="1" t="s">
        <v>5</v>
      </c>
      <c r="CZ1" s="71" t="s">
        <v>188</v>
      </c>
      <c r="DB1" s="71" t="s">
        <v>189</v>
      </c>
    </row>
    <row r="2" spans="1:107" s="4" customFormat="1" ht="31.5" customHeight="1">
      <c r="A2" s="201"/>
      <c r="B2" s="201"/>
      <c r="D2" s="71" t="s">
        <v>6</v>
      </c>
      <c r="F2" s="3" t="s">
        <v>6</v>
      </c>
      <c r="H2" s="3" t="s">
        <v>6</v>
      </c>
      <c r="J2" s="3" t="s">
        <v>6</v>
      </c>
      <c r="L2" s="71" t="s">
        <v>6</v>
      </c>
      <c r="N2" s="3" t="s">
        <v>6</v>
      </c>
      <c r="P2" s="3" t="s">
        <v>6</v>
      </c>
      <c r="R2" s="3" t="s">
        <v>6</v>
      </c>
      <c r="T2" s="71" t="s">
        <v>6</v>
      </c>
      <c r="V2" s="3" t="s">
        <v>6</v>
      </c>
      <c r="X2" s="3" t="s">
        <v>6</v>
      </c>
      <c r="Z2" s="3" t="s">
        <v>6</v>
      </c>
      <c r="AB2" s="71" t="s">
        <v>6</v>
      </c>
      <c r="AD2" s="3" t="s">
        <v>6</v>
      </c>
      <c r="AF2" s="3" t="s">
        <v>6</v>
      </c>
      <c r="AH2" s="3" t="s">
        <v>6</v>
      </c>
      <c r="AJ2" s="71" t="s">
        <v>6</v>
      </c>
      <c r="AL2" s="3" t="s">
        <v>6</v>
      </c>
      <c r="AN2" s="3" t="s">
        <v>6</v>
      </c>
      <c r="AP2" s="3" t="s">
        <v>6</v>
      </c>
      <c r="AR2" s="71" t="s">
        <v>6</v>
      </c>
      <c r="AT2" s="3" t="s">
        <v>6</v>
      </c>
      <c r="AV2" s="3" t="s">
        <v>6</v>
      </c>
      <c r="AX2" s="3" t="s">
        <v>6</v>
      </c>
      <c r="AZ2" s="71" t="s">
        <v>6</v>
      </c>
      <c r="BB2" s="3" t="s">
        <v>6</v>
      </c>
      <c r="BD2" s="3" t="s">
        <v>6</v>
      </c>
      <c r="BF2" s="3" t="s">
        <v>6</v>
      </c>
      <c r="BH2" s="153" t="s">
        <v>263</v>
      </c>
      <c r="BJ2" s="3" t="s">
        <v>6</v>
      </c>
      <c r="BL2" s="154" t="s">
        <v>6</v>
      </c>
      <c r="BN2" s="3" t="s">
        <v>6</v>
      </c>
      <c r="BP2" s="3" t="s">
        <v>6</v>
      </c>
      <c r="BR2" s="3" t="s">
        <v>6</v>
      </c>
      <c r="BT2" s="3" t="s">
        <v>6</v>
      </c>
      <c r="BV2" s="71" t="s">
        <v>6</v>
      </c>
      <c r="BX2" s="3" t="s">
        <v>6</v>
      </c>
      <c r="BZ2" s="3" t="s">
        <v>6</v>
      </c>
      <c r="CB2" s="3" t="s">
        <v>6</v>
      </c>
      <c r="CD2" s="71" t="s">
        <v>6</v>
      </c>
      <c r="CF2" s="3" t="s">
        <v>6</v>
      </c>
      <c r="CH2" s="3" t="s">
        <v>6</v>
      </c>
      <c r="CJ2" s="3" t="s">
        <v>6</v>
      </c>
      <c r="CL2" s="71" t="s">
        <v>6</v>
      </c>
      <c r="CN2" s="3" t="s">
        <v>6</v>
      </c>
      <c r="CP2" s="3" t="s">
        <v>6</v>
      </c>
      <c r="CR2" s="3" t="s">
        <v>6</v>
      </c>
      <c r="CT2" s="71" t="s">
        <v>6</v>
      </c>
      <c r="CV2" s="3" t="s">
        <v>6</v>
      </c>
      <c r="CX2" s="3" t="s">
        <v>6</v>
      </c>
      <c r="CZ2" s="71" t="s">
        <v>6</v>
      </c>
      <c r="DB2" s="71" t="s">
        <v>6</v>
      </c>
    </row>
    <row r="3" spans="1:107">
      <c r="B3" s="6" t="s">
        <v>7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</row>
    <row r="4" spans="1:107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</row>
    <row r="5" spans="1:107">
      <c r="B5" s="6" t="s">
        <v>8</v>
      </c>
      <c r="C5" s="6"/>
      <c r="D5" s="7"/>
      <c r="E5" s="6"/>
      <c r="F5" s="7"/>
      <c r="G5" s="6"/>
      <c r="H5" s="7"/>
      <c r="I5" s="6"/>
      <c r="J5" s="7"/>
      <c r="K5" s="6"/>
      <c r="L5" s="7"/>
      <c r="M5" s="6"/>
      <c r="N5" s="7"/>
      <c r="O5" s="6"/>
      <c r="P5" s="7"/>
      <c r="Q5" s="6"/>
      <c r="R5" s="7"/>
      <c r="S5" s="6"/>
      <c r="T5" s="7"/>
      <c r="U5" s="6"/>
      <c r="V5" s="7"/>
      <c r="W5" s="6"/>
      <c r="X5" s="7"/>
      <c r="Y5" s="6"/>
      <c r="Z5" s="7"/>
      <c r="AA5" s="6"/>
      <c r="AB5" s="7"/>
      <c r="AC5" s="6"/>
      <c r="AD5" s="7"/>
      <c r="AE5" s="6"/>
      <c r="AF5" s="7"/>
      <c r="AG5" s="6"/>
      <c r="AH5" s="7"/>
      <c r="AI5" s="6"/>
      <c r="AJ5" s="7"/>
      <c r="AK5" s="6"/>
      <c r="AL5" s="7"/>
      <c r="AM5" s="6"/>
      <c r="AN5" s="7"/>
      <c r="AO5" s="6"/>
      <c r="AP5" s="7"/>
      <c r="AQ5" s="6"/>
      <c r="AR5" s="7"/>
      <c r="AS5" s="6"/>
      <c r="AT5" s="7"/>
      <c r="AU5" s="6"/>
      <c r="AV5" s="7"/>
      <c r="AW5" s="6"/>
      <c r="AX5" s="7"/>
      <c r="AY5" s="6"/>
      <c r="AZ5" s="7"/>
      <c r="BA5" s="6"/>
      <c r="BB5" s="7"/>
      <c r="BC5" s="6"/>
      <c r="BD5" s="7"/>
      <c r="BE5" s="6"/>
      <c r="BF5" s="7"/>
      <c r="BG5" s="6"/>
      <c r="BH5" s="7"/>
      <c r="BI5" s="6"/>
      <c r="BJ5" s="7"/>
      <c r="BK5" s="6"/>
      <c r="BL5" s="7"/>
      <c r="BM5" s="6"/>
      <c r="BN5" s="7"/>
      <c r="BO5" s="6"/>
      <c r="BP5" s="7"/>
      <c r="BQ5" s="6"/>
      <c r="BR5" s="7"/>
      <c r="BS5" s="6"/>
      <c r="BT5" s="7"/>
      <c r="BU5" s="6"/>
      <c r="BV5" s="7"/>
      <c r="BW5" s="6"/>
      <c r="BX5" s="7"/>
      <c r="BY5" s="6"/>
      <c r="BZ5" s="7"/>
      <c r="CA5" s="6"/>
      <c r="CB5" s="7"/>
      <c r="CC5" s="6"/>
      <c r="CD5" s="7"/>
      <c r="CE5" s="6"/>
      <c r="CF5" s="7"/>
      <c r="CG5" s="6"/>
      <c r="CH5" s="7"/>
      <c r="CI5" s="6"/>
      <c r="CJ5" s="7"/>
      <c r="CK5" s="6"/>
      <c r="CL5" s="7"/>
      <c r="CM5" s="6"/>
      <c r="CN5" s="7"/>
      <c r="CO5" s="6"/>
      <c r="CP5" s="7"/>
      <c r="CQ5" s="6"/>
      <c r="CR5" s="7"/>
      <c r="CS5" s="6"/>
      <c r="CT5" s="7"/>
      <c r="CU5" s="6"/>
      <c r="CV5" s="7"/>
      <c r="CW5" s="6"/>
      <c r="CX5" s="7"/>
      <c r="CY5" s="6"/>
      <c r="CZ5" s="7"/>
      <c r="DA5" s="6"/>
      <c r="DB5" s="7"/>
      <c r="DC5" s="6"/>
    </row>
    <row r="6" spans="1:107">
      <c r="B6" s="8" t="s">
        <v>9</v>
      </c>
      <c r="C6" s="8"/>
      <c r="D6" s="7"/>
      <c r="E6" s="8"/>
      <c r="F6" s="7"/>
      <c r="G6" s="8"/>
      <c r="H6" s="7"/>
      <c r="I6" s="8"/>
      <c r="J6" s="7">
        <v>0</v>
      </c>
      <c r="K6" s="8"/>
      <c r="L6" s="7">
        <v>0</v>
      </c>
      <c r="M6" s="8"/>
      <c r="N6" s="7">
        <v>0</v>
      </c>
      <c r="O6" s="8"/>
      <c r="P6" s="7">
        <v>0</v>
      </c>
      <c r="Q6" s="8"/>
      <c r="R6" s="7">
        <v>0</v>
      </c>
      <c r="S6" s="8"/>
      <c r="T6" s="7">
        <v>0</v>
      </c>
      <c r="U6" s="8"/>
      <c r="V6" s="7">
        <v>0</v>
      </c>
      <c r="W6" s="8"/>
      <c r="X6" s="7">
        <v>0</v>
      </c>
      <c r="Y6" s="8"/>
      <c r="Z6" s="7">
        <v>0</v>
      </c>
      <c r="AA6" s="8"/>
      <c r="AB6" s="7">
        <v>0</v>
      </c>
      <c r="AC6" s="8"/>
      <c r="AD6" s="7">
        <v>0</v>
      </c>
      <c r="AE6" s="8"/>
      <c r="AF6" s="7">
        <v>0</v>
      </c>
      <c r="AG6" s="8"/>
      <c r="AH6" s="7">
        <v>0</v>
      </c>
      <c r="AI6" s="8"/>
      <c r="AJ6" s="7">
        <v>0</v>
      </c>
      <c r="AK6" s="8"/>
      <c r="AL6" s="7">
        <v>0</v>
      </c>
      <c r="AM6" s="8"/>
      <c r="AN6" s="7">
        <v>0</v>
      </c>
      <c r="AO6" s="8"/>
      <c r="AP6" s="7">
        <v>0</v>
      </c>
      <c r="AQ6" s="8"/>
      <c r="AR6" s="7">
        <v>0</v>
      </c>
      <c r="AS6" s="8"/>
      <c r="AT6" s="7">
        <v>0</v>
      </c>
      <c r="AU6" s="8"/>
      <c r="AV6" s="7">
        <v>0</v>
      </c>
      <c r="AW6" s="8"/>
      <c r="AX6" s="7">
        <v>0</v>
      </c>
      <c r="AY6" s="8"/>
      <c r="AZ6" s="7">
        <v>0</v>
      </c>
      <c r="BA6" s="8"/>
      <c r="BB6" s="7">
        <v>0</v>
      </c>
      <c r="BC6" s="8"/>
      <c r="BD6" s="7">
        <v>0</v>
      </c>
      <c r="BE6" s="8"/>
      <c r="BF6" s="7">
        <v>0</v>
      </c>
      <c r="BG6" s="8"/>
      <c r="BH6" s="7">
        <v>0</v>
      </c>
      <c r="BI6" s="8"/>
      <c r="BJ6" s="7">
        <v>0</v>
      </c>
      <c r="BK6" s="8"/>
      <c r="BL6" s="7">
        <v>0</v>
      </c>
      <c r="BM6" s="8"/>
      <c r="BN6" s="7">
        <v>0</v>
      </c>
      <c r="BO6" s="8"/>
      <c r="BP6" s="7">
        <v>0</v>
      </c>
      <c r="BQ6" s="8"/>
      <c r="BR6" s="7">
        <v>0</v>
      </c>
      <c r="BS6" s="8"/>
      <c r="BT6" s="7">
        <v>0</v>
      </c>
      <c r="BU6" s="8"/>
      <c r="BV6" s="7">
        <v>0</v>
      </c>
      <c r="BW6" s="8"/>
      <c r="BX6" s="7">
        <v>0</v>
      </c>
      <c r="BY6" s="8"/>
      <c r="BZ6" s="7">
        <v>0</v>
      </c>
      <c r="CA6" s="8"/>
      <c r="CB6" s="7">
        <v>0</v>
      </c>
      <c r="CC6" s="8"/>
      <c r="CD6" s="7">
        <v>0</v>
      </c>
      <c r="CE6" s="8"/>
      <c r="CF6" s="7">
        <v>0</v>
      </c>
      <c r="CG6" s="8"/>
      <c r="CH6" s="7">
        <v>0</v>
      </c>
      <c r="CI6" s="8"/>
      <c r="CJ6" s="7">
        <v>0</v>
      </c>
      <c r="CK6" s="8"/>
      <c r="CL6" s="7">
        <v>0</v>
      </c>
      <c r="CM6" s="8"/>
      <c r="CN6" s="7">
        <v>0</v>
      </c>
      <c r="CO6" s="8"/>
      <c r="CP6" s="7">
        <v>0</v>
      </c>
      <c r="CQ6" s="8"/>
      <c r="CR6" s="7">
        <v>0</v>
      </c>
      <c r="CS6" s="8"/>
      <c r="CT6" s="7">
        <v>0</v>
      </c>
      <c r="CU6" s="8"/>
      <c r="CV6" s="7">
        <v>0</v>
      </c>
      <c r="CW6" s="8"/>
      <c r="CX6" s="7">
        <v>0</v>
      </c>
      <c r="CY6" s="8"/>
      <c r="CZ6" s="7">
        <v>0</v>
      </c>
      <c r="DA6" s="8"/>
      <c r="DB6" s="7">
        <v>0</v>
      </c>
      <c r="DC6" s="8"/>
    </row>
    <row r="7" spans="1:107">
      <c r="B7" s="8" t="s">
        <v>10</v>
      </c>
      <c r="C7" s="8"/>
      <c r="D7" s="7"/>
      <c r="E7" s="8"/>
      <c r="F7" s="7"/>
      <c r="G7" s="8"/>
      <c r="H7" s="7"/>
      <c r="I7" s="8"/>
      <c r="J7" s="7">
        <v>17298250.099999998</v>
      </c>
      <c r="K7" s="8"/>
      <c r="L7" s="7">
        <v>17798649.009999998</v>
      </c>
      <c r="M7" s="8"/>
      <c r="N7" s="7">
        <v>18704023.249999996</v>
      </c>
      <c r="O7" s="8"/>
      <c r="P7" s="7">
        <v>19037855.619999997</v>
      </c>
      <c r="Q7" s="8"/>
      <c r="R7" s="7">
        <v>19249277</v>
      </c>
      <c r="S7" s="8"/>
      <c r="T7" s="7">
        <v>19307169.379999999</v>
      </c>
      <c r="U7" s="8"/>
      <c r="V7" s="7">
        <v>19689253.969999999</v>
      </c>
      <c r="W7" s="8"/>
      <c r="X7" s="7">
        <v>19501419.310000002</v>
      </c>
      <c r="Y7" s="8"/>
      <c r="Z7" s="7">
        <v>19255438.149999999</v>
      </c>
      <c r="AA7" s="8"/>
      <c r="AB7" s="7">
        <v>18909452.449999999</v>
      </c>
      <c r="AC7" s="8"/>
      <c r="AD7" s="7">
        <v>18508305.66</v>
      </c>
      <c r="AE7" s="8"/>
      <c r="AF7" s="7">
        <v>18064035.439999998</v>
      </c>
      <c r="AG7" s="8"/>
      <c r="AH7" s="7">
        <v>17747046.380000003</v>
      </c>
      <c r="AI7" s="8"/>
      <c r="AJ7" s="7">
        <v>17631883.740000002</v>
      </c>
      <c r="AK7" s="8"/>
      <c r="AL7" s="7">
        <v>17330258.150000002</v>
      </c>
      <c r="AM7" s="8"/>
      <c r="AN7" s="7">
        <v>17166271.09</v>
      </c>
      <c r="AO7" s="8"/>
      <c r="AP7" s="7">
        <v>17098364.68</v>
      </c>
      <c r="AQ7" s="8"/>
      <c r="AR7" s="7">
        <v>17017523.190000001</v>
      </c>
      <c r="AS7" s="8"/>
      <c r="AT7" s="7">
        <v>17021416.890000001</v>
      </c>
      <c r="AU7" s="8"/>
      <c r="AV7" s="7">
        <v>16847475.330000002</v>
      </c>
      <c r="AW7" s="8"/>
      <c r="AX7" s="7">
        <v>16342862.060000002</v>
      </c>
      <c r="AY7" s="8"/>
      <c r="AZ7" s="7">
        <v>16189201.690000001</v>
      </c>
      <c r="BA7" s="8"/>
      <c r="BB7" s="7">
        <v>16200795.100000001</v>
      </c>
      <c r="BC7" s="8"/>
      <c r="BD7" s="7">
        <v>15839668.18</v>
      </c>
      <c r="BE7" s="8"/>
      <c r="BF7" s="7">
        <v>15580395.139999997</v>
      </c>
      <c r="BG7" s="8"/>
      <c r="BH7" s="7">
        <v>15309762.799999997</v>
      </c>
      <c r="BI7" s="8"/>
      <c r="BJ7" s="7">
        <v>35051900.07</v>
      </c>
      <c r="BK7" s="8"/>
      <c r="BL7" s="7">
        <v>32888302.360000003</v>
      </c>
      <c r="BM7" s="8"/>
      <c r="BN7" s="7">
        <v>31593374.359999999</v>
      </c>
      <c r="BO7" s="8"/>
      <c r="BP7" s="7">
        <v>29431327.629999999</v>
      </c>
      <c r="BQ7" s="8"/>
      <c r="BR7" s="7">
        <v>27155706.920000002</v>
      </c>
      <c r="BS7" s="8"/>
      <c r="BT7" s="7">
        <v>27633775.91</v>
      </c>
      <c r="BU7" s="8"/>
      <c r="BV7" s="7">
        <v>24920773.59</v>
      </c>
      <c r="BW7" s="8"/>
      <c r="BX7" s="7">
        <v>25235037.600000001</v>
      </c>
      <c r="BY7" s="8"/>
      <c r="BZ7" s="7">
        <v>24330852.02</v>
      </c>
      <c r="CA7" s="8"/>
      <c r="CB7" s="7">
        <v>23423654.300000001</v>
      </c>
      <c r="CC7" s="8"/>
      <c r="CD7" s="7">
        <v>20775663.93</v>
      </c>
      <c r="CE7" s="8"/>
      <c r="CF7" s="7">
        <v>19056765.25</v>
      </c>
      <c r="CG7" s="8"/>
      <c r="CH7" s="7">
        <v>16800224.399999999</v>
      </c>
      <c r="CI7" s="8"/>
      <c r="CJ7" s="7">
        <v>14264589.16</v>
      </c>
      <c r="CK7" s="8"/>
      <c r="CL7" s="7">
        <v>10944857.470000001</v>
      </c>
      <c r="CM7" s="8"/>
      <c r="CN7" s="7">
        <v>6466934.6799999997</v>
      </c>
      <c r="CO7" s="8"/>
      <c r="CP7" s="7">
        <v>4980378.3999999994</v>
      </c>
      <c r="CQ7" s="8"/>
      <c r="CR7" s="7">
        <v>4181236.9000000008</v>
      </c>
      <c r="CS7" s="8"/>
      <c r="CT7" s="7">
        <v>3087768.6300000004</v>
      </c>
      <c r="CU7" s="8"/>
      <c r="CV7" s="7">
        <v>3006297.72</v>
      </c>
      <c r="CW7" s="8"/>
      <c r="CX7" s="7">
        <v>3056400.1700000004</v>
      </c>
      <c r="CY7" s="8"/>
      <c r="CZ7" s="7">
        <v>3027245.0700000003</v>
      </c>
      <c r="DA7" s="8"/>
      <c r="DB7" s="7">
        <v>2550903.7500000005</v>
      </c>
      <c r="DC7" s="8"/>
    </row>
    <row r="8" spans="1:107">
      <c r="B8" s="8" t="s">
        <v>11</v>
      </c>
      <c r="C8" s="8"/>
      <c r="D8" s="7"/>
      <c r="E8" s="8"/>
      <c r="F8" s="7"/>
      <c r="G8" s="8"/>
      <c r="H8" s="7"/>
      <c r="I8" s="8"/>
      <c r="J8" s="7">
        <v>41787981.320000015</v>
      </c>
      <c r="K8" s="8"/>
      <c r="L8" s="7">
        <v>36343623.200000003</v>
      </c>
      <c r="M8" s="8"/>
      <c r="N8" s="7">
        <v>26822192.179999996</v>
      </c>
      <c r="O8" s="8"/>
      <c r="P8" s="7">
        <v>22989200.639999989</v>
      </c>
      <c r="Q8" s="8"/>
      <c r="R8" s="7">
        <v>22800508.919999991</v>
      </c>
      <c r="S8" s="8"/>
      <c r="T8" s="7">
        <v>15513255.519999988</v>
      </c>
      <c r="U8" s="8"/>
      <c r="V8" s="7">
        <v>15867915.209999997</v>
      </c>
      <c r="W8" s="8"/>
      <c r="X8" s="7">
        <v>16256081.520000005</v>
      </c>
      <c r="Y8" s="8"/>
      <c r="Z8" s="7">
        <v>12060934.669999992</v>
      </c>
      <c r="AA8" s="8"/>
      <c r="AB8" s="7">
        <v>17227214.630000003</v>
      </c>
      <c r="AC8" s="8"/>
      <c r="AD8" s="7">
        <v>21759275.529999986</v>
      </c>
      <c r="AE8" s="8"/>
      <c r="AF8" s="7">
        <v>22207081.769999985</v>
      </c>
      <c r="AG8" s="8"/>
      <c r="AH8" s="7">
        <v>22561901.929999992</v>
      </c>
      <c r="AI8" s="8"/>
      <c r="AJ8" s="7">
        <v>27623569.809999999</v>
      </c>
      <c r="AK8" s="8"/>
      <c r="AL8" s="7">
        <v>23221668.669999998</v>
      </c>
      <c r="AM8" s="8"/>
      <c r="AN8" s="7">
        <v>23710464.09999999</v>
      </c>
      <c r="AO8" s="8"/>
      <c r="AP8" s="7">
        <v>24252358.029999997</v>
      </c>
      <c r="AQ8" s="8"/>
      <c r="AR8" s="7">
        <v>24810836.059999999</v>
      </c>
      <c r="AS8" s="8"/>
      <c r="AT8" s="7">
        <v>25360228.439999998</v>
      </c>
      <c r="AU8" s="8"/>
      <c r="AV8" s="7">
        <v>25902849.189999998</v>
      </c>
      <c r="AW8" s="8"/>
      <c r="AX8" s="7">
        <v>26636642.739999995</v>
      </c>
      <c r="AY8" s="8"/>
      <c r="AZ8" s="7">
        <v>27309926.960000001</v>
      </c>
      <c r="BA8" s="8"/>
      <c r="BB8" s="7">
        <v>27780269.910000004</v>
      </c>
      <c r="BC8" s="8"/>
      <c r="BD8" s="7">
        <v>28428383.630000003</v>
      </c>
      <c r="BE8" s="8"/>
      <c r="BF8" s="7">
        <v>29116951.030000005</v>
      </c>
      <c r="BG8" s="8"/>
      <c r="BH8" s="7">
        <v>29751705.499999996</v>
      </c>
      <c r="BI8" s="8"/>
      <c r="BJ8" s="7">
        <v>30351655.449999996</v>
      </c>
      <c r="BK8" s="8"/>
      <c r="BL8" s="7">
        <v>31042097.219999999</v>
      </c>
      <c r="BM8" s="8"/>
      <c r="BN8" s="7">
        <v>31791210.620000001</v>
      </c>
      <c r="BO8" s="8"/>
      <c r="BP8" s="7">
        <v>32535023.5</v>
      </c>
      <c r="BQ8" s="8"/>
      <c r="BR8" s="7">
        <v>33144108.469999999</v>
      </c>
      <c r="BS8" s="8"/>
      <c r="BT8" s="7">
        <v>33913798.670000002</v>
      </c>
      <c r="BU8" s="8"/>
      <c r="BV8" s="7">
        <v>34431387.210000008</v>
      </c>
      <c r="BW8" s="8"/>
      <c r="BX8" s="7">
        <v>35413078.82</v>
      </c>
      <c r="BY8" s="8"/>
      <c r="BZ8" s="7">
        <v>35855072.510000005</v>
      </c>
      <c r="CA8" s="8"/>
      <c r="CB8" s="7">
        <v>36442466.109999999</v>
      </c>
      <c r="CC8" s="8"/>
      <c r="CD8" s="7">
        <v>37087182.219999999</v>
      </c>
      <c r="CE8" s="8"/>
      <c r="CF8" s="7">
        <v>38056196.380000003</v>
      </c>
      <c r="CG8" s="8"/>
      <c r="CH8" s="7">
        <v>39554443.280000001</v>
      </c>
      <c r="CI8" s="8"/>
      <c r="CJ8" s="7">
        <v>40297919.700000003</v>
      </c>
      <c r="CK8" s="8"/>
      <c r="CL8" s="7">
        <v>41338892.25</v>
      </c>
      <c r="CM8" s="8"/>
      <c r="CN8" s="7">
        <v>42579945.924615622</v>
      </c>
      <c r="CO8" s="8"/>
      <c r="CP8" s="7">
        <v>43290804.698148727</v>
      </c>
      <c r="CQ8" s="8"/>
      <c r="CR8" s="7">
        <v>43716547.691681825</v>
      </c>
      <c r="CS8" s="8"/>
      <c r="CT8" s="7">
        <v>38890563.345214926</v>
      </c>
      <c r="CU8" s="8"/>
      <c r="CV8" s="7">
        <v>34391311.158748031</v>
      </c>
      <c r="CW8" s="8"/>
      <c r="CX8" s="7">
        <v>23167937.772281136</v>
      </c>
      <c r="CY8" s="8"/>
      <c r="CZ8" s="7">
        <v>17907918.419347342</v>
      </c>
      <c r="DA8" s="8"/>
      <c r="DB8" s="7">
        <v>19026153.603479754</v>
      </c>
      <c r="DC8" s="8"/>
    </row>
    <row r="9" spans="1:107">
      <c r="B9" s="8" t="s">
        <v>278</v>
      </c>
      <c r="C9" s="8"/>
      <c r="D9" s="7"/>
      <c r="E9" s="8"/>
      <c r="F9" s="7"/>
      <c r="G9" s="8"/>
      <c r="H9" s="7"/>
      <c r="I9" s="8"/>
      <c r="J9" s="7">
        <v>19305563.410000004</v>
      </c>
      <c r="K9" s="8"/>
      <c r="L9" s="7">
        <v>23140120.689999998</v>
      </c>
      <c r="M9" s="8"/>
      <c r="N9" s="7">
        <v>17154400.150000002</v>
      </c>
      <c r="O9" s="8"/>
      <c r="P9" s="7">
        <v>17669506.170000002</v>
      </c>
      <c r="Q9" s="8"/>
      <c r="R9" s="7">
        <v>15020059.340000002</v>
      </c>
      <c r="S9" s="8"/>
      <c r="T9" s="7">
        <v>18349665.219999999</v>
      </c>
      <c r="U9" s="8"/>
      <c r="V9" s="7">
        <v>17945966.709999997</v>
      </c>
      <c r="W9" s="8"/>
      <c r="X9" s="7">
        <v>11331347.259999998</v>
      </c>
      <c r="Y9" s="8"/>
      <c r="Z9" s="7">
        <v>15995951.74</v>
      </c>
      <c r="AA9" s="8"/>
      <c r="AB9" s="7">
        <v>15490470.699999999</v>
      </c>
      <c r="AC9" s="8"/>
      <c r="AD9" s="7">
        <v>10862135.98</v>
      </c>
      <c r="AE9" s="8"/>
      <c r="AF9" s="7">
        <v>8921468.9399999995</v>
      </c>
      <c r="AG9" s="8"/>
      <c r="AH9" s="7">
        <v>8956048.9399999995</v>
      </c>
      <c r="AI9" s="8"/>
      <c r="AJ9" s="7">
        <v>4323689.4000000004</v>
      </c>
      <c r="AK9" s="8"/>
      <c r="AL9" s="7">
        <v>2738387.9700000007</v>
      </c>
      <c r="AM9" s="8"/>
      <c r="AN9" s="7">
        <v>2794856.13</v>
      </c>
      <c r="AO9" s="8"/>
      <c r="AP9" s="7">
        <v>2390454.15</v>
      </c>
      <c r="AQ9" s="8"/>
      <c r="AR9" s="7">
        <v>2692181.57</v>
      </c>
      <c r="AS9" s="8"/>
      <c r="AT9" s="7">
        <v>2341875.77</v>
      </c>
      <c r="AU9" s="8"/>
      <c r="AV9" s="7">
        <v>2119667.08</v>
      </c>
      <c r="AW9" s="8"/>
      <c r="AX9" s="7">
        <v>1703513.25</v>
      </c>
      <c r="AY9" s="8"/>
      <c r="AZ9" s="7"/>
      <c r="BA9" s="8"/>
      <c r="BB9" s="7"/>
      <c r="BC9" s="8"/>
      <c r="BD9" s="7"/>
      <c r="BE9" s="8"/>
      <c r="BF9" s="7"/>
      <c r="BG9" s="8"/>
      <c r="BH9" s="7"/>
      <c r="BI9" s="8"/>
      <c r="BJ9" s="7"/>
      <c r="BK9" s="8"/>
      <c r="BL9" s="7"/>
      <c r="BM9" s="8"/>
      <c r="BN9" s="7"/>
      <c r="BO9" s="8"/>
      <c r="BP9" s="7"/>
      <c r="BQ9" s="8"/>
      <c r="BR9" s="7"/>
      <c r="BS9" s="8"/>
      <c r="BT9" s="7"/>
      <c r="BU9" s="8"/>
      <c r="BV9" s="7"/>
      <c r="BW9" s="8"/>
      <c r="BX9" s="7"/>
      <c r="BY9" s="8"/>
      <c r="BZ9" s="7"/>
      <c r="CA9" s="8"/>
      <c r="CB9" s="7"/>
      <c r="CC9" s="8"/>
      <c r="CD9" s="7"/>
      <c r="CE9" s="8"/>
      <c r="CF9" s="7"/>
      <c r="CG9" s="8"/>
      <c r="CH9" s="7"/>
      <c r="CI9" s="8"/>
      <c r="CJ9" s="7"/>
      <c r="CK9" s="8"/>
      <c r="CL9" s="7"/>
      <c r="CM9" s="8"/>
      <c r="CN9" s="7"/>
      <c r="CO9" s="8"/>
      <c r="CP9" s="7"/>
      <c r="CQ9" s="8"/>
      <c r="CR9" s="7"/>
      <c r="CS9" s="8"/>
      <c r="CT9" s="7"/>
      <c r="CU9" s="8"/>
      <c r="CV9" s="7"/>
      <c r="CW9" s="8"/>
      <c r="CX9" s="7"/>
      <c r="CY9" s="8"/>
      <c r="CZ9" s="7"/>
      <c r="DA9" s="8"/>
      <c r="DB9" s="7"/>
      <c r="DC9" s="8"/>
    </row>
    <row r="10" spans="1:107">
      <c r="B10" s="9" t="s">
        <v>12</v>
      </c>
      <c r="C10" s="9"/>
      <c r="D10" s="7"/>
      <c r="E10" s="9"/>
      <c r="F10" s="7"/>
      <c r="G10" s="9"/>
      <c r="H10" s="7"/>
      <c r="I10" s="9"/>
      <c r="J10" s="7">
        <v>0</v>
      </c>
      <c r="K10" s="9"/>
      <c r="L10" s="7">
        <v>0</v>
      </c>
      <c r="M10" s="9"/>
      <c r="N10" s="7">
        <v>0</v>
      </c>
      <c r="O10" s="9"/>
      <c r="P10" s="7">
        <v>0</v>
      </c>
      <c r="Q10" s="9"/>
      <c r="R10" s="7">
        <v>0</v>
      </c>
      <c r="S10" s="9"/>
      <c r="T10" s="7">
        <v>0</v>
      </c>
      <c r="U10" s="9"/>
      <c r="V10" s="7">
        <v>0</v>
      </c>
      <c r="W10" s="9"/>
      <c r="X10" s="7">
        <v>0</v>
      </c>
      <c r="Y10" s="9"/>
      <c r="Z10" s="7">
        <v>0</v>
      </c>
      <c r="AA10" s="9"/>
      <c r="AB10" s="7">
        <v>0</v>
      </c>
      <c r="AC10" s="9"/>
      <c r="AD10" s="7">
        <v>0</v>
      </c>
      <c r="AE10" s="9"/>
      <c r="AF10" s="7">
        <v>0</v>
      </c>
      <c r="AG10" s="9"/>
      <c r="AH10" s="7">
        <v>0</v>
      </c>
      <c r="AI10" s="9"/>
      <c r="AJ10" s="7">
        <v>0</v>
      </c>
      <c r="AK10" s="9"/>
      <c r="AL10" s="7">
        <v>0</v>
      </c>
      <c r="AM10" s="9"/>
      <c r="AN10" s="7">
        <v>0</v>
      </c>
      <c r="AO10" s="9"/>
      <c r="AP10" s="7">
        <v>0</v>
      </c>
      <c r="AQ10" s="9"/>
      <c r="AR10" s="7">
        <v>0</v>
      </c>
      <c r="AS10" s="9"/>
      <c r="AT10" s="7">
        <v>0</v>
      </c>
      <c r="AU10" s="9"/>
      <c r="AV10" s="7">
        <v>0</v>
      </c>
      <c r="AW10" s="9"/>
      <c r="AX10" s="7">
        <v>0</v>
      </c>
      <c r="AY10" s="9"/>
      <c r="AZ10" s="7">
        <v>0</v>
      </c>
      <c r="BA10" s="9"/>
      <c r="BB10" s="7">
        <v>0</v>
      </c>
      <c r="BC10" s="9"/>
      <c r="BD10" s="7">
        <v>0</v>
      </c>
      <c r="BE10" s="9"/>
      <c r="BF10" s="7">
        <v>0</v>
      </c>
      <c r="BG10" s="9"/>
      <c r="BH10" s="7">
        <v>0</v>
      </c>
      <c r="BI10" s="9"/>
      <c r="BJ10" s="7">
        <v>0</v>
      </c>
      <c r="BK10" s="9"/>
      <c r="BL10" s="7" t="s">
        <v>325</v>
      </c>
      <c r="BM10" s="9"/>
      <c r="BN10" s="7">
        <v>0</v>
      </c>
      <c r="BO10" s="9"/>
      <c r="BP10" s="7">
        <v>0</v>
      </c>
      <c r="BQ10" s="9"/>
      <c r="BR10" s="7">
        <v>0</v>
      </c>
      <c r="BS10" s="9"/>
      <c r="BT10" s="7">
        <v>0</v>
      </c>
      <c r="BU10" s="9"/>
      <c r="BV10" s="7">
        <v>0</v>
      </c>
      <c r="BW10" s="9"/>
      <c r="BX10" s="7"/>
      <c r="BY10" s="9"/>
      <c r="BZ10" s="7">
        <v>0</v>
      </c>
      <c r="CA10" s="9"/>
      <c r="CB10" s="7">
        <v>0</v>
      </c>
      <c r="CC10" s="9"/>
      <c r="CD10" s="7">
        <v>0</v>
      </c>
      <c r="CE10" s="9"/>
      <c r="CF10" s="7"/>
      <c r="CG10" s="9"/>
      <c r="CH10" s="7"/>
      <c r="CI10" s="9"/>
      <c r="CJ10" s="7"/>
      <c r="CK10" s="9"/>
      <c r="CL10" s="7"/>
      <c r="CM10" s="9"/>
      <c r="CN10" s="7"/>
      <c r="CO10" s="9"/>
      <c r="CP10" s="7">
        <v>0</v>
      </c>
      <c r="CQ10" s="8"/>
      <c r="CR10" s="7"/>
      <c r="CS10" s="9"/>
      <c r="CT10" s="7"/>
      <c r="CU10" s="9"/>
      <c r="CV10" s="7"/>
      <c r="CW10" s="8"/>
      <c r="CX10" s="7"/>
      <c r="CY10" s="8"/>
      <c r="CZ10" s="7">
        <v>0</v>
      </c>
      <c r="DA10" s="8"/>
      <c r="DB10" s="7">
        <v>0</v>
      </c>
      <c r="DC10" s="9"/>
    </row>
    <row r="11" spans="1:107">
      <c r="B11" s="8" t="s">
        <v>13</v>
      </c>
      <c r="C11" s="8"/>
      <c r="D11" s="7"/>
      <c r="E11" s="8"/>
      <c r="F11" s="7"/>
      <c r="G11" s="8"/>
      <c r="H11" s="7"/>
      <c r="I11" s="8"/>
      <c r="J11" s="7">
        <v>0</v>
      </c>
      <c r="K11" s="8"/>
      <c r="L11" s="7">
        <v>0</v>
      </c>
      <c r="M11" s="8"/>
      <c r="N11" s="7">
        <v>0</v>
      </c>
      <c r="O11" s="8"/>
      <c r="P11" s="7"/>
      <c r="Q11" s="8"/>
      <c r="R11" s="7">
        <v>0</v>
      </c>
      <c r="S11" s="8"/>
      <c r="T11" s="7">
        <v>0</v>
      </c>
      <c r="U11" s="8"/>
      <c r="V11" s="7">
        <v>0</v>
      </c>
      <c r="W11" s="8"/>
      <c r="X11" s="7">
        <v>0</v>
      </c>
      <c r="Y11" s="8"/>
      <c r="Z11" s="7">
        <v>0</v>
      </c>
      <c r="AA11" s="8"/>
      <c r="AB11" s="7">
        <v>0</v>
      </c>
      <c r="AC11" s="8"/>
      <c r="AD11" s="7">
        <v>0</v>
      </c>
      <c r="AE11" s="8"/>
      <c r="AF11" s="7">
        <v>0</v>
      </c>
      <c r="AG11" s="8"/>
      <c r="AH11" s="7">
        <v>0</v>
      </c>
      <c r="AI11" s="8"/>
      <c r="AJ11" s="7">
        <v>0</v>
      </c>
      <c r="AK11" s="8"/>
      <c r="AL11" s="7">
        <v>317001</v>
      </c>
      <c r="AM11" s="8"/>
      <c r="AN11" s="7">
        <v>317001</v>
      </c>
      <c r="AO11" s="8"/>
      <c r="AP11" s="7">
        <v>642001</v>
      </c>
      <c r="AQ11" s="8"/>
      <c r="AR11" s="7">
        <v>967001</v>
      </c>
      <c r="AS11" s="8"/>
      <c r="AT11" s="7">
        <v>1704851.01</v>
      </c>
      <c r="AU11" s="8"/>
      <c r="AV11" s="7">
        <v>2034557.11</v>
      </c>
      <c r="AW11" s="8"/>
      <c r="AX11" s="7">
        <v>2125753.4</v>
      </c>
      <c r="AY11" s="8"/>
      <c r="AZ11" s="7">
        <v>2257201</v>
      </c>
      <c r="BA11" s="8"/>
      <c r="BB11" s="7">
        <v>1734505.8</v>
      </c>
      <c r="BC11" s="8"/>
      <c r="BD11" s="7">
        <v>1752060.12</v>
      </c>
      <c r="BE11" s="8"/>
      <c r="BF11" s="7">
        <v>420609.32</v>
      </c>
      <c r="BG11" s="8"/>
      <c r="BH11" s="7">
        <v>419894.88</v>
      </c>
      <c r="BI11" s="8"/>
      <c r="BJ11" s="7">
        <v>3104.52</v>
      </c>
      <c r="BK11" s="8"/>
      <c r="BL11" s="7">
        <v>3104.52</v>
      </c>
      <c r="BM11" s="8"/>
      <c r="BN11" s="7">
        <v>0</v>
      </c>
      <c r="BO11" s="8"/>
      <c r="BP11" s="7">
        <v>0</v>
      </c>
      <c r="BQ11" s="8"/>
      <c r="BR11" s="7">
        <v>0</v>
      </c>
      <c r="BS11" s="8"/>
      <c r="BT11" s="7">
        <v>0</v>
      </c>
      <c r="BU11" s="8"/>
      <c r="BV11" s="7">
        <v>0</v>
      </c>
      <c r="BW11" s="8"/>
      <c r="BX11" s="7">
        <v>26072.44</v>
      </c>
      <c r="BY11" s="8"/>
      <c r="BZ11" s="7">
        <v>45237.46</v>
      </c>
      <c r="CA11" s="8"/>
      <c r="CB11" s="7">
        <v>64402.479999999996</v>
      </c>
      <c r="CC11" s="8"/>
      <c r="CD11" s="7">
        <v>83567.5</v>
      </c>
      <c r="CE11" s="8"/>
      <c r="CF11" s="7">
        <v>102732.58</v>
      </c>
      <c r="CG11" s="8"/>
      <c r="CH11" s="7">
        <v>115820.20999999999</v>
      </c>
      <c r="CI11" s="8"/>
      <c r="CJ11" s="7">
        <v>85169.74</v>
      </c>
      <c r="CK11" s="8"/>
      <c r="CL11" s="7">
        <v>0</v>
      </c>
      <c r="CM11" s="8"/>
      <c r="CN11" s="7">
        <v>0</v>
      </c>
      <c r="CO11" s="8"/>
      <c r="CP11" s="7">
        <v>17730</v>
      </c>
      <c r="CQ11" s="8"/>
      <c r="CR11" s="7">
        <v>17730</v>
      </c>
      <c r="CS11" s="8"/>
      <c r="CT11" s="7">
        <v>17730</v>
      </c>
      <c r="CU11" s="8"/>
      <c r="CV11" s="7">
        <v>45561.79</v>
      </c>
      <c r="CW11" s="8"/>
      <c r="CX11" s="7">
        <v>43721.79</v>
      </c>
      <c r="CY11" s="8"/>
      <c r="CZ11" s="7">
        <v>350362.23</v>
      </c>
      <c r="DA11" s="8"/>
      <c r="DB11" s="7">
        <v>43721.79</v>
      </c>
      <c r="DC11" s="8"/>
    </row>
    <row r="12" spans="1:107" hidden="1">
      <c r="B12" s="122" t="s">
        <v>14</v>
      </c>
      <c r="C12" s="8"/>
      <c r="D12" s="7"/>
      <c r="E12" s="8"/>
      <c r="F12" s="7"/>
      <c r="G12" s="8"/>
      <c r="H12" s="7"/>
      <c r="I12" s="8"/>
      <c r="J12" s="7"/>
      <c r="K12" s="8"/>
      <c r="L12" s="7"/>
      <c r="M12" s="8"/>
      <c r="N12" s="7"/>
      <c r="O12" s="8"/>
      <c r="P12" s="7"/>
      <c r="Q12" s="8"/>
      <c r="R12" s="7"/>
      <c r="S12" s="8"/>
      <c r="T12" s="7"/>
      <c r="U12" s="8"/>
      <c r="V12" s="7"/>
      <c r="W12" s="8"/>
      <c r="X12" s="7"/>
      <c r="Y12" s="8"/>
      <c r="Z12" s="7"/>
      <c r="AA12" s="8"/>
      <c r="AB12" s="7"/>
      <c r="AC12" s="8"/>
      <c r="AD12" s="7"/>
      <c r="AE12" s="8"/>
      <c r="AF12" s="7"/>
      <c r="AG12" s="8"/>
      <c r="AH12" s="7"/>
      <c r="AI12" s="8"/>
      <c r="AJ12" s="7"/>
      <c r="AK12" s="8"/>
      <c r="AL12" s="7"/>
      <c r="AM12" s="8"/>
      <c r="AN12" s="7"/>
      <c r="AO12" s="8"/>
      <c r="AP12" s="7"/>
      <c r="AQ12" s="8"/>
      <c r="AR12" s="7"/>
      <c r="AS12" s="8"/>
      <c r="AT12" s="7"/>
      <c r="AU12" s="8"/>
      <c r="AV12" s="7">
        <v>7145749.4299999997</v>
      </c>
      <c r="AW12" s="8"/>
      <c r="AX12" s="7">
        <v>6893992.2800000003</v>
      </c>
      <c r="AY12" s="8"/>
      <c r="AZ12" s="7">
        <v>6522692.6600000001</v>
      </c>
      <c r="BA12" s="8"/>
      <c r="BB12" s="7">
        <v>6282656.9299999997</v>
      </c>
      <c r="BC12" s="8"/>
      <c r="BD12" s="7"/>
      <c r="BE12" s="8"/>
      <c r="BF12" s="7">
        <v>5856758.0600000005</v>
      </c>
      <c r="BG12" s="8"/>
      <c r="BH12" s="7">
        <v>5573988.1999999993</v>
      </c>
      <c r="BI12" s="8"/>
      <c r="BJ12" s="7">
        <v>5440854.2199999997</v>
      </c>
      <c r="BK12" s="8"/>
      <c r="BL12" s="7">
        <v>5328122.3599999994</v>
      </c>
      <c r="BM12" s="8"/>
      <c r="BN12" s="7"/>
      <c r="BO12" s="8"/>
      <c r="BP12" s="7"/>
      <c r="BQ12" s="8"/>
      <c r="BR12" s="7"/>
      <c r="BS12" s="8"/>
      <c r="BT12" s="7"/>
      <c r="BU12" s="8"/>
      <c r="BV12" s="7"/>
      <c r="BW12" s="8"/>
      <c r="BX12" s="7"/>
      <c r="BY12" s="8"/>
      <c r="BZ12" s="7"/>
      <c r="CA12" s="8"/>
      <c r="CB12" s="7"/>
      <c r="CC12" s="8"/>
      <c r="CD12" s="7"/>
      <c r="CE12" s="8"/>
      <c r="CF12" s="7"/>
      <c r="CG12" s="8"/>
      <c r="CH12" s="7"/>
      <c r="CI12" s="8"/>
      <c r="CJ12" s="7"/>
      <c r="CK12" s="8"/>
      <c r="CL12" s="7"/>
      <c r="CM12" s="8"/>
      <c r="CN12" s="7"/>
      <c r="CO12" s="8"/>
      <c r="CP12" s="7"/>
      <c r="CQ12" s="8"/>
      <c r="CR12" s="7"/>
      <c r="CS12" s="8"/>
      <c r="CT12" s="7"/>
      <c r="CU12" s="8"/>
      <c r="CV12" s="7"/>
      <c r="CW12" s="8"/>
      <c r="CX12" s="7"/>
      <c r="CY12" s="8"/>
      <c r="CZ12" s="7"/>
      <c r="DA12" s="8"/>
      <c r="DB12" s="7"/>
      <c r="DC12" s="8"/>
    </row>
    <row r="13" spans="1:107">
      <c r="B13" s="8" t="s">
        <v>15</v>
      </c>
      <c r="C13" s="10"/>
      <c r="D13" s="7"/>
      <c r="E13" s="10"/>
      <c r="F13" s="7"/>
      <c r="G13" s="10"/>
      <c r="H13" s="7"/>
      <c r="I13" s="10"/>
      <c r="J13" s="7">
        <v>241423.13</v>
      </c>
      <c r="K13" s="10"/>
      <c r="L13" s="7">
        <v>236729.87</v>
      </c>
      <c r="M13" s="10"/>
      <c r="N13" s="7">
        <v>232036.61</v>
      </c>
      <c r="O13" s="10"/>
      <c r="P13" s="7">
        <v>227394.36</v>
      </c>
      <c r="Q13" s="10"/>
      <c r="R13" s="7">
        <v>222752.11</v>
      </c>
      <c r="S13" s="10"/>
      <c r="T13" s="7">
        <v>2918058.85</v>
      </c>
      <c r="U13" s="10"/>
      <c r="V13" s="7">
        <v>3112285.04</v>
      </c>
      <c r="W13" s="10"/>
      <c r="X13" s="7">
        <v>3044154.35</v>
      </c>
      <c r="Y13" s="10"/>
      <c r="Z13" s="7">
        <v>2969652.43</v>
      </c>
      <c r="AA13" s="10"/>
      <c r="AB13" s="7">
        <v>3000000</v>
      </c>
      <c r="AC13" s="10"/>
      <c r="AD13" s="7">
        <v>4990014.5599999996</v>
      </c>
      <c r="AE13" s="10"/>
      <c r="AF13" s="7">
        <v>4995697.72</v>
      </c>
      <c r="AG13" s="10"/>
      <c r="AH13" s="7">
        <v>5708081.1699999999</v>
      </c>
      <c r="AI13" s="10"/>
      <c r="AJ13" s="7">
        <v>5268458.16</v>
      </c>
      <c r="AK13" s="10"/>
      <c r="AL13" s="7">
        <v>5646443.4699999997</v>
      </c>
      <c r="AM13" s="10"/>
      <c r="AN13" s="7">
        <v>5508313.6299999999</v>
      </c>
      <c r="AO13" s="10"/>
      <c r="AP13" s="7">
        <v>5371201.3399999999</v>
      </c>
      <c r="AQ13" s="10"/>
      <c r="AR13" s="7">
        <v>5286494.58</v>
      </c>
      <c r="AS13" s="10"/>
      <c r="AT13" s="7">
        <v>6140111.46</v>
      </c>
      <c r="AU13" s="10"/>
      <c r="AV13" s="7">
        <v>6094070.2999999998</v>
      </c>
      <c r="AW13" s="10"/>
      <c r="AX13" s="7">
        <v>5842313.1500000004</v>
      </c>
      <c r="AY13" s="10"/>
      <c r="AZ13" s="7">
        <v>5471013.5300000003</v>
      </c>
      <c r="BA13" s="10"/>
      <c r="BB13" s="7">
        <v>3980977.8</v>
      </c>
      <c r="BC13" s="10"/>
      <c r="BD13" s="7">
        <v>3741924.27</v>
      </c>
      <c r="BE13" s="10"/>
      <c r="BF13" s="7">
        <v>3555078.93</v>
      </c>
      <c r="BG13" s="10"/>
      <c r="BH13" s="7">
        <v>3272309.07</v>
      </c>
      <c r="BI13" s="10"/>
      <c r="BJ13" s="7">
        <v>3239175.09</v>
      </c>
      <c r="BK13" s="10"/>
      <c r="BL13" s="7">
        <v>3206405.23</v>
      </c>
      <c r="BM13" s="10"/>
      <c r="BN13" s="7">
        <v>3601964.1</v>
      </c>
      <c r="BO13" s="10"/>
      <c r="BP13" s="7">
        <v>3564080.93</v>
      </c>
      <c r="BQ13" s="10"/>
      <c r="BR13" s="7">
        <v>3526197.76</v>
      </c>
      <c r="BS13" s="10"/>
      <c r="BT13" s="7">
        <v>3488730.88</v>
      </c>
      <c r="BU13" s="10"/>
      <c r="BV13" s="7">
        <v>0</v>
      </c>
      <c r="BW13" s="10"/>
      <c r="BX13" s="7">
        <v>0</v>
      </c>
      <c r="BY13" s="10"/>
      <c r="BZ13" s="7">
        <v>0</v>
      </c>
      <c r="CA13" s="10"/>
      <c r="CB13" s="7">
        <v>0</v>
      </c>
      <c r="CC13" s="10"/>
      <c r="CD13" s="7">
        <v>0</v>
      </c>
      <c r="CE13" s="10"/>
      <c r="CF13" s="7">
        <v>0</v>
      </c>
      <c r="CG13" s="10"/>
      <c r="CH13" s="7">
        <v>0</v>
      </c>
      <c r="CI13" s="10"/>
      <c r="CJ13" s="7">
        <v>0</v>
      </c>
      <c r="CK13" s="10"/>
      <c r="CL13" s="7">
        <v>0</v>
      </c>
      <c r="CM13" s="10"/>
      <c r="CN13" s="7">
        <v>0</v>
      </c>
      <c r="CO13" s="10"/>
      <c r="CP13" s="7">
        <v>0</v>
      </c>
      <c r="CQ13" s="8"/>
      <c r="CR13" s="7">
        <v>0</v>
      </c>
      <c r="CS13" s="10"/>
      <c r="CT13" s="7">
        <v>0</v>
      </c>
      <c r="CU13" s="10"/>
      <c r="CV13" s="7">
        <v>0</v>
      </c>
      <c r="CW13" s="8"/>
      <c r="CX13" s="7">
        <v>0</v>
      </c>
      <c r="CY13" s="8"/>
      <c r="CZ13" s="7">
        <v>0</v>
      </c>
      <c r="DA13" s="8"/>
      <c r="DB13" s="7">
        <v>1396574.25</v>
      </c>
      <c r="DC13" s="10"/>
    </row>
    <row r="14" spans="1:107">
      <c r="B14" s="8" t="s">
        <v>250</v>
      </c>
      <c r="C14" s="10"/>
      <c r="D14" s="7"/>
      <c r="E14" s="10"/>
      <c r="F14" s="7"/>
      <c r="G14" s="10"/>
      <c r="H14" s="7"/>
      <c r="I14" s="10"/>
      <c r="J14" s="7">
        <v>2149621.29</v>
      </c>
      <c r="K14" s="10"/>
      <c r="L14" s="7">
        <v>2137659.13</v>
      </c>
      <c r="M14" s="10"/>
      <c r="N14" s="7">
        <v>2137659.13</v>
      </c>
      <c r="O14" s="10"/>
      <c r="P14" s="7">
        <v>2137659.13</v>
      </c>
      <c r="Q14" s="10"/>
      <c r="R14" s="7">
        <v>2137659.13</v>
      </c>
      <c r="S14" s="10"/>
      <c r="T14" s="7">
        <v>2137659.13</v>
      </c>
      <c r="U14" s="10"/>
      <c r="V14" s="7">
        <v>2137659.13</v>
      </c>
      <c r="W14" s="10"/>
      <c r="X14" s="7">
        <v>2137659.13</v>
      </c>
      <c r="Y14" s="10"/>
      <c r="Z14" s="7">
        <v>2850659.13</v>
      </c>
      <c r="AA14" s="10"/>
      <c r="AB14" s="7">
        <v>2850659.13</v>
      </c>
      <c r="AC14" s="10"/>
      <c r="AD14" s="7">
        <v>618159.12999999989</v>
      </c>
      <c r="AE14" s="10"/>
      <c r="AF14" s="7">
        <v>618159.12999999989</v>
      </c>
      <c r="AG14" s="10"/>
      <c r="AH14" s="7">
        <v>1279182.19</v>
      </c>
      <c r="AI14" s="10"/>
      <c r="AJ14" s="7">
        <v>1260202.19</v>
      </c>
      <c r="AK14" s="10"/>
      <c r="AL14" s="7">
        <v>1951679.13</v>
      </c>
      <c r="AM14" s="10"/>
      <c r="AN14" s="7">
        <v>1951679.13</v>
      </c>
      <c r="AO14" s="10"/>
      <c r="AP14" s="7">
        <v>1951679.13</v>
      </c>
      <c r="AQ14" s="10"/>
      <c r="AR14" s="7">
        <v>1951679.13</v>
      </c>
      <c r="AS14" s="10"/>
      <c r="AT14" s="7">
        <v>1051679.1299999999</v>
      </c>
      <c r="AU14" s="10"/>
      <c r="AV14" s="7">
        <v>1051679.1299999999</v>
      </c>
      <c r="AW14" s="10"/>
      <c r="AX14" s="7">
        <v>1051679.1299999999</v>
      </c>
      <c r="AY14" s="10"/>
      <c r="AZ14" s="7">
        <v>1051679.1299999999</v>
      </c>
      <c r="BA14" s="10"/>
      <c r="BB14" s="7">
        <v>2301679.13</v>
      </c>
      <c r="BC14" s="10"/>
      <c r="BD14" s="7">
        <v>2301679.13</v>
      </c>
      <c r="BE14" s="10"/>
      <c r="BF14" s="7">
        <v>2301679.13</v>
      </c>
      <c r="BG14" s="10"/>
      <c r="BH14" s="7">
        <v>2301679.13</v>
      </c>
      <c r="BI14" s="10"/>
      <c r="BJ14" s="7">
        <v>2201679.13</v>
      </c>
      <c r="BK14" s="10"/>
      <c r="BL14" s="7">
        <v>2121717.13</v>
      </c>
      <c r="BM14" s="10"/>
      <c r="BN14" s="7">
        <v>2054600</v>
      </c>
      <c r="BO14" s="10"/>
      <c r="BP14" s="7">
        <v>1904600</v>
      </c>
      <c r="BQ14" s="10"/>
      <c r="BR14" s="7">
        <v>1904600</v>
      </c>
      <c r="BS14" s="10"/>
      <c r="BT14" s="7">
        <v>1904600</v>
      </c>
      <c r="BU14" s="10"/>
      <c r="BV14" s="7">
        <v>1904600</v>
      </c>
      <c r="BW14" s="10"/>
      <c r="BX14" s="7">
        <v>1704600</v>
      </c>
      <c r="BY14" s="10"/>
      <c r="BZ14" s="7">
        <v>1704600</v>
      </c>
      <c r="CA14" s="10"/>
      <c r="CB14" s="7">
        <v>1704600</v>
      </c>
      <c r="CC14" s="10"/>
      <c r="CD14" s="7">
        <v>1704600</v>
      </c>
      <c r="CE14" s="10"/>
      <c r="CF14" s="7">
        <v>1704600</v>
      </c>
      <c r="CG14" s="10"/>
      <c r="CH14" s="7">
        <v>1404600</v>
      </c>
      <c r="CI14" s="10"/>
      <c r="CJ14" s="7">
        <v>1404600</v>
      </c>
      <c r="CK14" s="10"/>
      <c r="CL14" s="7">
        <v>654600</v>
      </c>
      <c r="CM14" s="10"/>
      <c r="CN14" s="7">
        <v>654600</v>
      </c>
      <c r="CO14" s="10"/>
      <c r="CP14" s="7">
        <v>504600</v>
      </c>
      <c r="CQ14" s="8"/>
      <c r="CR14" s="7">
        <v>504600</v>
      </c>
      <c r="CS14" s="10"/>
      <c r="CT14" s="7">
        <v>505000</v>
      </c>
      <c r="CU14" s="10"/>
      <c r="CV14" s="7">
        <v>502500</v>
      </c>
      <c r="CW14" s="8"/>
      <c r="CX14" s="7">
        <v>502500</v>
      </c>
      <c r="CY14" s="8"/>
      <c r="CZ14" s="7">
        <v>502500</v>
      </c>
      <c r="DA14" s="8"/>
      <c r="DB14" s="7">
        <v>502500</v>
      </c>
      <c r="DC14" s="10"/>
    </row>
    <row r="15" spans="1:107">
      <c r="B15" s="8" t="s">
        <v>311</v>
      </c>
      <c r="C15" s="10"/>
      <c r="D15" s="7"/>
      <c r="E15" s="10"/>
      <c r="F15" s="7"/>
      <c r="G15" s="10"/>
      <c r="H15" s="7"/>
      <c r="I15" s="10"/>
      <c r="J15" s="7">
        <v>2750936</v>
      </c>
      <c r="K15" s="10"/>
      <c r="L15" s="7">
        <v>2676234</v>
      </c>
      <c r="M15" s="10"/>
      <c r="N15" s="7">
        <v>2900884</v>
      </c>
      <c r="O15" s="10"/>
      <c r="P15" s="7">
        <v>2962185</v>
      </c>
      <c r="Q15" s="10"/>
      <c r="R15" s="7">
        <v>1644370</v>
      </c>
      <c r="S15" s="10"/>
      <c r="T15" s="7">
        <v>1644370</v>
      </c>
      <c r="U15" s="10"/>
      <c r="V15" s="7">
        <v>1774500</v>
      </c>
      <c r="W15" s="10"/>
      <c r="X15" s="7">
        <v>0</v>
      </c>
      <c r="Y15" s="10"/>
      <c r="Z15" s="7">
        <v>0</v>
      </c>
      <c r="AA15" s="10"/>
      <c r="AB15" s="7">
        <v>0</v>
      </c>
      <c r="AC15" s="10"/>
      <c r="AD15" s="7">
        <v>0</v>
      </c>
      <c r="AE15" s="10"/>
      <c r="AF15" s="7">
        <v>0</v>
      </c>
      <c r="AG15" s="10"/>
      <c r="AH15" s="7">
        <v>0</v>
      </c>
      <c r="AI15" s="10"/>
      <c r="AJ15" s="7">
        <v>0</v>
      </c>
      <c r="AK15" s="10"/>
      <c r="AL15" s="7">
        <v>0</v>
      </c>
      <c r="AM15" s="10"/>
      <c r="AN15" s="7">
        <v>0</v>
      </c>
      <c r="AO15" s="10"/>
      <c r="AP15" s="7">
        <v>0</v>
      </c>
      <c r="AQ15" s="10"/>
      <c r="AR15" s="7">
        <v>0</v>
      </c>
      <c r="AS15" s="10"/>
      <c r="AT15" s="7">
        <v>0</v>
      </c>
      <c r="AU15" s="10"/>
      <c r="AV15" s="7">
        <v>0</v>
      </c>
      <c r="AW15" s="10"/>
      <c r="AX15" s="7">
        <v>0</v>
      </c>
      <c r="AY15" s="10"/>
      <c r="AZ15" s="7">
        <v>0</v>
      </c>
      <c r="BA15" s="10"/>
      <c r="BB15" s="7">
        <v>0</v>
      </c>
      <c r="BC15" s="10"/>
      <c r="BD15" s="7">
        <v>0</v>
      </c>
      <c r="BE15" s="10"/>
      <c r="BF15" s="7">
        <v>0</v>
      </c>
      <c r="BG15" s="10"/>
      <c r="BH15" s="7">
        <v>0</v>
      </c>
      <c r="BI15" s="10"/>
      <c r="BJ15" s="7">
        <v>0</v>
      </c>
      <c r="BK15" s="10"/>
      <c r="BL15" s="7">
        <v>0</v>
      </c>
      <c r="BM15" s="10"/>
      <c r="BN15" s="7">
        <v>0</v>
      </c>
      <c r="BO15" s="10"/>
      <c r="BP15" s="7">
        <v>0</v>
      </c>
      <c r="BQ15" s="10"/>
      <c r="BR15" s="7">
        <v>0</v>
      </c>
      <c r="BS15" s="10"/>
      <c r="BT15" s="7">
        <v>0</v>
      </c>
      <c r="BU15" s="10"/>
      <c r="BV15" s="7">
        <v>0</v>
      </c>
      <c r="BW15" s="10"/>
      <c r="BX15" s="7">
        <v>0</v>
      </c>
      <c r="BY15" s="10"/>
      <c r="BZ15" s="7">
        <v>0</v>
      </c>
      <c r="CA15" s="10"/>
      <c r="CB15" s="7">
        <v>0</v>
      </c>
      <c r="CC15" s="10"/>
      <c r="CD15" s="7">
        <v>0</v>
      </c>
      <c r="CE15" s="10"/>
      <c r="CF15" s="7">
        <v>0</v>
      </c>
      <c r="CG15" s="10"/>
      <c r="CH15" s="7">
        <v>0</v>
      </c>
      <c r="CI15" s="10"/>
      <c r="CJ15" s="7">
        <v>0</v>
      </c>
      <c r="CK15" s="10"/>
      <c r="CL15" s="7">
        <v>0</v>
      </c>
      <c r="CM15" s="10"/>
      <c r="CN15" s="7">
        <v>0</v>
      </c>
      <c r="CO15" s="10"/>
      <c r="CP15" s="7">
        <v>0</v>
      </c>
      <c r="CQ15" s="8"/>
      <c r="CR15" s="7">
        <v>0</v>
      </c>
      <c r="CS15" s="10"/>
      <c r="CT15" s="7">
        <v>0</v>
      </c>
      <c r="CU15" s="10"/>
      <c r="CV15" s="7">
        <v>0</v>
      </c>
      <c r="CW15" s="8"/>
      <c r="CX15" s="7">
        <v>0</v>
      </c>
      <c r="CY15" s="8"/>
      <c r="CZ15" s="7">
        <v>0</v>
      </c>
      <c r="DA15" s="8"/>
      <c r="DB15" s="7">
        <v>0</v>
      </c>
      <c r="DC15" s="10"/>
    </row>
    <row r="16" spans="1:107">
      <c r="B16" s="8" t="s">
        <v>18</v>
      </c>
      <c r="C16" s="10"/>
      <c r="D16" s="7"/>
      <c r="E16" s="10"/>
      <c r="F16" s="7"/>
      <c r="G16" s="10"/>
      <c r="H16" s="7"/>
      <c r="I16" s="10"/>
      <c r="J16" s="7">
        <v>0</v>
      </c>
      <c r="K16" s="10"/>
      <c r="L16" s="7">
        <v>0</v>
      </c>
      <c r="M16" s="10"/>
      <c r="N16" s="7">
        <v>0</v>
      </c>
      <c r="O16" s="10"/>
      <c r="P16" s="7">
        <v>0</v>
      </c>
      <c r="Q16" s="10"/>
      <c r="R16" s="7">
        <v>0</v>
      </c>
      <c r="S16" s="10"/>
      <c r="T16" s="7">
        <v>0</v>
      </c>
      <c r="U16" s="10"/>
      <c r="V16" s="7">
        <v>0</v>
      </c>
      <c r="W16" s="10"/>
      <c r="X16" s="7">
        <v>0</v>
      </c>
      <c r="Y16" s="10"/>
      <c r="Z16" s="7">
        <v>0</v>
      </c>
      <c r="AA16" s="10"/>
      <c r="AB16" s="7">
        <v>0</v>
      </c>
      <c r="AC16" s="10"/>
      <c r="AD16" s="7">
        <v>0</v>
      </c>
      <c r="AE16" s="10"/>
      <c r="AF16" s="7">
        <v>0</v>
      </c>
      <c r="AG16" s="10"/>
      <c r="AH16" s="7">
        <v>0</v>
      </c>
      <c r="AI16" s="10"/>
      <c r="AJ16" s="7">
        <v>0</v>
      </c>
      <c r="AK16" s="10"/>
      <c r="AL16" s="7">
        <v>0</v>
      </c>
      <c r="AM16" s="10"/>
      <c r="AN16" s="7">
        <v>0</v>
      </c>
      <c r="AO16" s="10"/>
      <c r="AP16" s="7">
        <v>0</v>
      </c>
      <c r="AQ16" s="10"/>
      <c r="AR16" s="7">
        <v>0</v>
      </c>
      <c r="AS16" s="10"/>
      <c r="AT16" s="7">
        <v>0</v>
      </c>
      <c r="AU16" s="10"/>
      <c r="AV16" s="7">
        <v>0</v>
      </c>
      <c r="AW16" s="10"/>
      <c r="AX16" s="7">
        <v>0</v>
      </c>
      <c r="AY16" s="10"/>
      <c r="AZ16" s="7">
        <v>0</v>
      </c>
      <c r="BA16" s="10"/>
      <c r="BB16" s="7">
        <v>0</v>
      </c>
      <c r="BC16" s="10"/>
      <c r="BD16" s="7">
        <v>0</v>
      </c>
      <c r="BE16" s="10"/>
      <c r="BF16" s="7">
        <v>0</v>
      </c>
      <c r="BG16" s="10"/>
      <c r="BH16" s="7">
        <v>0</v>
      </c>
      <c r="BI16" s="10"/>
      <c r="BJ16" s="7">
        <v>0</v>
      </c>
      <c r="BK16" s="10"/>
      <c r="BL16" s="7">
        <v>0</v>
      </c>
      <c r="BM16" s="10"/>
      <c r="BN16" s="7">
        <v>0</v>
      </c>
      <c r="BO16" s="10"/>
      <c r="BP16" s="7">
        <v>0</v>
      </c>
      <c r="BQ16" s="10"/>
      <c r="BR16" s="7">
        <v>0</v>
      </c>
      <c r="BS16" s="10"/>
      <c r="BT16" s="7">
        <v>0</v>
      </c>
      <c r="BU16" s="10"/>
      <c r="BV16" s="7">
        <v>0</v>
      </c>
      <c r="BW16" s="10"/>
      <c r="BX16" s="7">
        <v>0</v>
      </c>
      <c r="BY16" s="10"/>
      <c r="BZ16" s="7">
        <v>0</v>
      </c>
      <c r="CA16" s="10"/>
      <c r="CB16" s="7">
        <v>0</v>
      </c>
      <c r="CC16" s="10"/>
      <c r="CD16" s="7">
        <v>0</v>
      </c>
      <c r="CE16" s="10"/>
      <c r="CF16" s="7">
        <v>0</v>
      </c>
      <c r="CG16" s="10"/>
      <c r="CH16" s="7">
        <v>0</v>
      </c>
      <c r="CI16" s="10"/>
      <c r="CJ16" s="7">
        <v>0</v>
      </c>
      <c r="CK16" s="10"/>
      <c r="CL16" s="7">
        <v>0</v>
      </c>
      <c r="CM16" s="10"/>
      <c r="CN16" s="7">
        <v>0</v>
      </c>
      <c r="CO16" s="10"/>
      <c r="CP16" s="7">
        <v>0</v>
      </c>
      <c r="CQ16" s="6"/>
      <c r="CR16" s="7">
        <v>0</v>
      </c>
      <c r="CS16" s="10"/>
      <c r="CT16" s="7">
        <v>0</v>
      </c>
      <c r="CU16" s="10"/>
      <c r="CV16" s="7">
        <v>0</v>
      </c>
      <c r="CW16" s="6"/>
      <c r="CX16" s="7">
        <v>0</v>
      </c>
      <c r="CY16" s="6"/>
      <c r="CZ16" s="7">
        <v>0</v>
      </c>
      <c r="DA16" s="8"/>
      <c r="DB16" s="7">
        <v>0</v>
      </c>
      <c r="DC16" s="10"/>
    </row>
    <row r="17" spans="2:107">
      <c r="B17" s="8" t="s">
        <v>290</v>
      </c>
      <c r="C17" s="10"/>
      <c r="D17" s="7"/>
      <c r="E17" s="10"/>
      <c r="F17" s="7"/>
      <c r="G17" s="10"/>
      <c r="H17" s="7"/>
      <c r="I17" s="10"/>
      <c r="J17" s="7">
        <v>0</v>
      </c>
      <c r="K17" s="10"/>
      <c r="L17" s="7">
        <v>0</v>
      </c>
      <c r="M17" s="10"/>
      <c r="N17" s="7">
        <v>0</v>
      </c>
      <c r="O17" s="10"/>
      <c r="P17" s="7">
        <v>0</v>
      </c>
      <c r="Q17" s="10"/>
      <c r="R17" s="7">
        <v>0</v>
      </c>
      <c r="S17" s="10"/>
      <c r="T17" s="7">
        <v>0</v>
      </c>
      <c r="U17" s="10"/>
      <c r="V17" s="7">
        <v>0</v>
      </c>
      <c r="W17" s="10"/>
      <c r="X17" s="7">
        <v>0</v>
      </c>
      <c r="Y17" s="10"/>
      <c r="Z17" s="7">
        <v>0</v>
      </c>
      <c r="AA17" s="10"/>
      <c r="AB17" s="7">
        <v>0</v>
      </c>
      <c r="AC17" s="10"/>
      <c r="AD17" s="7">
        <v>0</v>
      </c>
      <c r="AE17" s="10"/>
      <c r="AF17" s="7">
        <v>0</v>
      </c>
      <c r="AG17" s="10"/>
      <c r="AH17" s="7">
        <v>0</v>
      </c>
      <c r="AI17" s="10"/>
      <c r="AJ17" s="7">
        <v>3128700.58</v>
      </c>
      <c r="AK17" s="10"/>
      <c r="AL17" s="7">
        <v>3257013.7</v>
      </c>
      <c r="AM17" s="10"/>
      <c r="AN17" s="7">
        <v>3511991.7</v>
      </c>
      <c r="AO17" s="10"/>
      <c r="AP17" s="7">
        <v>3847828.6</v>
      </c>
      <c r="AQ17" s="10"/>
      <c r="AR17" s="7">
        <v>4015905</v>
      </c>
      <c r="AS17" s="10"/>
      <c r="AT17" s="7"/>
      <c r="AU17" s="10"/>
      <c r="AV17" s="7"/>
      <c r="AW17" s="10"/>
      <c r="AX17" s="7"/>
      <c r="AY17" s="10"/>
      <c r="AZ17" s="7"/>
      <c r="BA17" s="10"/>
      <c r="BB17" s="7"/>
      <c r="BC17" s="10"/>
      <c r="BD17" s="7"/>
      <c r="BE17" s="10"/>
      <c r="BF17" s="7"/>
      <c r="BG17" s="10"/>
      <c r="BH17" s="7"/>
      <c r="BI17" s="10"/>
      <c r="BJ17" s="7"/>
      <c r="BK17" s="10"/>
      <c r="BL17" s="7"/>
      <c r="BM17" s="10"/>
      <c r="BN17" s="7"/>
      <c r="BO17" s="10"/>
      <c r="BP17" s="7"/>
      <c r="BQ17" s="10"/>
      <c r="BR17" s="7"/>
      <c r="BS17" s="10"/>
      <c r="BT17" s="7"/>
      <c r="BU17" s="10"/>
      <c r="BV17" s="7"/>
      <c r="BW17" s="10"/>
      <c r="BX17" s="7"/>
      <c r="BY17" s="10"/>
      <c r="BZ17" s="7"/>
      <c r="CA17" s="10"/>
      <c r="CB17" s="7"/>
      <c r="CC17" s="10"/>
      <c r="CD17" s="7"/>
      <c r="CE17" s="10"/>
      <c r="CF17" s="7"/>
      <c r="CG17" s="10"/>
      <c r="CH17" s="7"/>
      <c r="CI17" s="10"/>
      <c r="CJ17" s="7"/>
      <c r="CK17" s="10"/>
      <c r="CL17" s="7"/>
      <c r="CM17" s="10"/>
      <c r="CN17" s="7"/>
      <c r="CO17" s="10"/>
      <c r="CP17" s="7"/>
      <c r="CQ17" s="6"/>
      <c r="CR17" s="7"/>
      <c r="CS17" s="10"/>
      <c r="CT17" s="7"/>
      <c r="CU17" s="10"/>
      <c r="CV17" s="7"/>
      <c r="CW17" s="6"/>
      <c r="CX17" s="7"/>
      <c r="CY17" s="6"/>
      <c r="CZ17" s="7"/>
      <c r="DA17" s="8"/>
      <c r="DB17" s="7"/>
      <c r="DC17" s="10"/>
    </row>
    <row r="18" spans="2:107">
      <c r="B18" s="9" t="s">
        <v>19</v>
      </c>
      <c r="C18" s="9"/>
      <c r="D18" s="7"/>
      <c r="E18" s="9"/>
      <c r="F18" s="7"/>
      <c r="G18" s="9"/>
      <c r="H18" s="7"/>
      <c r="I18" s="9"/>
      <c r="J18" s="7">
        <v>26448827.09</v>
      </c>
      <c r="K18" s="9"/>
      <c r="L18" s="7">
        <v>24058907.690000001</v>
      </c>
      <c r="M18" s="9"/>
      <c r="N18" s="7">
        <v>22168968.539999999</v>
      </c>
      <c r="O18" s="9"/>
      <c r="P18" s="7">
        <v>19094651.710000001</v>
      </c>
      <c r="Q18" s="9"/>
      <c r="R18" s="7">
        <v>18495357.489999998</v>
      </c>
      <c r="S18" s="9"/>
      <c r="T18" s="7">
        <v>12959788.49</v>
      </c>
      <c r="U18" s="9"/>
      <c r="V18" s="7">
        <v>10672250.800000001</v>
      </c>
      <c r="W18" s="9"/>
      <c r="X18" s="7">
        <v>8859412.8000000007</v>
      </c>
      <c r="Y18" s="9"/>
      <c r="Z18" s="7">
        <v>8652546.8000000007</v>
      </c>
      <c r="AA18" s="9"/>
      <c r="AB18" s="7">
        <v>8652546.8000000007</v>
      </c>
      <c r="AC18" s="9"/>
      <c r="AD18" s="7">
        <v>7642234.5599999996</v>
      </c>
      <c r="AE18" s="9"/>
      <c r="AF18" s="7">
        <v>7629784.5599999996</v>
      </c>
      <c r="AG18" s="9"/>
      <c r="AH18" s="7">
        <v>6803978.5599999996</v>
      </c>
      <c r="AI18" s="9"/>
      <c r="AJ18" s="7">
        <v>6803978.5599999996</v>
      </c>
      <c r="AK18" s="9"/>
      <c r="AL18" s="7">
        <v>6460878.2000000002</v>
      </c>
      <c r="AM18" s="9"/>
      <c r="AN18" s="7">
        <v>6460878.2000000002</v>
      </c>
      <c r="AO18" s="9"/>
      <c r="AP18" s="7">
        <v>6210132.4500000002</v>
      </c>
      <c r="AQ18" s="9"/>
      <c r="AR18" s="7">
        <v>5954473.2000000002</v>
      </c>
      <c r="AS18" s="9"/>
      <c r="AT18" s="7">
        <v>5215703.29</v>
      </c>
      <c r="AU18" s="9"/>
      <c r="AV18" s="7">
        <v>5266643.29</v>
      </c>
      <c r="AW18" s="9"/>
      <c r="AX18" s="7">
        <v>5215703.29</v>
      </c>
      <c r="AY18" s="9"/>
      <c r="AZ18" s="7">
        <v>5215703.29</v>
      </c>
      <c r="BA18" s="9"/>
      <c r="BB18" s="7">
        <v>3514276.8499999996</v>
      </c>
      <c r="BC18" s="9"/>
      <c r="BD18" s="7">
        <v>3307668.8499999996</v>
      </c>
      <c r="BE18" s="9"/>
      <c r="BF18" s="7">
        <v>3518601.56</v>
      </c>
      <c r="BG18" s="9"/>
      <c r="BH18" s="7">
        <v>2846528.96</v>
      </c>
      <c r="BI18" s="9"/>
      <c r="BJ18" s="7">
        <v>585854.88000000012</v>
      </c>
      <c r="BK18" s="9"/>
      <c r="BL18" s="7">
        <v>407117.19999999995</v>
      </c>
      <c r="BM18" s="9"/>
      <c r="BN18" s="7">
        <v>350318.73</v>
      </c>
      <c r="BO18" s="9"/>
      <c r="BP18" s="7">
        <v>1047875.0599999998</v>
      </c>
      <c r="BQ18" s="9"/>
      <c r="BR18" s="7">
        <v>894122.61</v>
      </c>
      <c r="BS18" s="9"/>
      <c r="BT18" s="7">
        <v>949956.8600000001</v>
      </c>
      <c r="BU18" s="9"/>
      <c r="BV18" s="7">
        <v>739042.52</v>
      </c>
      <c r="BW18" s="9"/>
      <c r="BX18" s="7">
        <v>1078430.79</v>
      </c>
      <c r="BY18" s="9"/>
      <c r="BZ18" s="7">
        <v>986537.06</v>
      </c>
      <c r="CA18" s="9"/>
      <c r="CB18" s="7">
        <v>1616694</v>
      </c>
      <c r="CC18" s="9"/>
      <c r="CD18" s="7">
        <v>1705664.94</v>
      </c>
      <c r="CE18" s="9"/>
      <c r="CF18" s="7">
        <v>416603.61</v>
      </c>
      <c r="CG18" s="9"/>
      <c r="CH18" s="7">
        <v>18851.84</v>
      </c>
      <c r="CI18" s="9"/>
      <c r="CJ18" s="7">
        <v>73025.919999999998</v>
      </c>
      <c r="CK18" s="9"/>
      <c r="CL18" s="7">
        <v>71104.97</v>
      </c>
      <c r="CM18" s="9"/>
      <c r="CN18" s="7">
        <v>407342.18760000006</v>
      </c>
      <c r="CO18" s="9"/>
      <c r="CP18" s="7">
        <v>622975.43999999994</v>
      </c>
      <c r="CQ18" s="6"/>
      <c r="CR18" s="7">
        <v>400845.20368045243</v>
      </c>
      <c r="CS18" s="9"/>
      <c r="CT18" s="7">
        <v>559065.82390916301</v>
      </c>
      <c r="CU18" s="9"/>
      <c r="CV18" s="7">
        <v>156256.5</v>
      </c>
      <c r="CW18" s="6"/>
      <c r="CX18" s="7">
        <v>56598.181799999962</v>
      </c>
      <c r="CY18" s="6"/>
      <c r="CZ18" s="7">
        <v>57993.943324009888</v>
      </c>
      <c r="DA18" s="8"/>
      <c r="DB18" s="7">
        <v>62772.570000000065</v>
      </c>
      <c r="DC18" s="9"/>
    </row>
    <row r="19" spans="2:107">
      <c r="B19" s="8" t="s">
        <v>20</v>
      </c>
      <c r="C19" s="8"/>
      <c r="D19" s="7"/>
      <c r="E19" s="8"/>
      <c r="F19" s="7"/>
      <c r="G19" s="8"/>
      <c r="H19" s="7"/>
      <c r="I19" s="8"/>
      <c r="J19" s="7">
        <v>60917.599999999999</v>
      </c>
      <c r="K19" s="8"/>
      <c r="L19" s="7">
        <v>79530.149999999994</v>
      </c>
      <c r="M19" s="8"/>
      <c r="N19" s="7">
        <v>97173.48</v>
      </c>
      <c r="O19" s="8"/>
      <c r="P19" s="7">
        <v>85002.68</v>
      </c>
      <c r="Q19" s="8"/>
      <c r="R19" s="7">
        <v>83266.259999999995</v>
      </c>
      <c r="S19" s="8"/>
      <c r="T19" s="7">
        <v>70609.91</v>
      </c>
      <c r="U19" s="8"/>
      <c r="V19" s="7">
        <v>677914.74</v>
      </c>
      <c r="W19" s="8"/>
      <c r="X19" s="7">
        <v>78556.06</v>
      </c>
      <c r="Y19" s="8"/>
      <c r="Z19" s="7">
        <v>87021.48</v>
      </c>
      <c r="AA19" s="8"/>
      <c r="AB19" s="7">
        <v>96729.91</v>
      </c>
      <c r="AC19" s="8"/>
      <c r="AD19" s="7">
        <v>104836.93</v>
      </c>
      <c r="AE19" s="8"/>
      <c r="AF19" s="7">
        <v>115178.66</v>
      </c>
      <c r="AG19" s="8"/>
      <c r="AH19" s="7">
        <v>6680.11</v>
      </c>
      <c r="AI19" s="8"/>
      <c r="AJ19" s="7">
        <v>9556.94</v>
      </c>
      <c r="AK19" s="8"/>
      <c r="AL19" s="7">
        <v>12604.19</v>
      </c>
      <c r="AM19" s="8"/>
      <c r="AN19" s="7">
        <v>8327.94</v>
      </c>
      <c r="AO19" s="8"/>
      <c r="AP19" s="7">
        <v>9789.84</v>
      </c>
      <c r="AQ19" s="8"/>
      <c r="AR19" s="7">
        <v>11251.74</v>
      </c>
      <c r="AS19" s="8"/>
      <c r="AT19" s="7">
        <v>12713.64</v>
      </c>
      <c r="AU19" s="8"/>
      <c r="AV19" s="7">
        <v>14283.77</v>
      </c>
      <c r="AW19" s="8"/>
      <c r="AX19" s="7">
        <v>15907.91</v>
      </c>
      <c r="AY19" s="8"/>
      <c r="AZ19" s="7">
        <v>17532.05</v>
      </c>
      <c r="BA19" s="8"/>
      <c r="BB19" s="7">
        <v>15738.23</v>
      </c>
      <c r="BC19" s="8"/>
      <c r="BD19" s="7">
        <v>16878.41</v>
      </c>
      <c r="BE19" s="8"/>
      <c r="BF19" s="7">
        <v>20158.12</v>
      </c>
      <c r="BG19" s="8"/>
      <c r="BH19" s="7">
        <v>20158.12</v>
      </c>
      <c r="BI19" s="8"/>
      <c r="BJ19" s="7">
        <v>0</v>
      </c>
      <c r="BK19" s="8"/>
      <c r="BL19" s="7">
        <v>0</v>
      </c>
      <c r="BM19" s="8"/>
      <c r="BN19" s="7">
        <v>0</v>
      </c>
      <c r="BO19" s="8"/>
      <c r="BP19" s="7">
        <v>0</v>
      </c>
      <c r="BQ19" s="8"/>
      <c r="BR19" s="7">
        <v>0</v>
      </c>
      <c r="BS19" s="8"/>
      <c r="BT19" s="7">
        <v>0</v>
      </c>
      <c r="BU19" s="8"/>
      <c r="BV19" s="7">
        <v>0</v>
      </c>
      <c r="BW19" s="8"/>
      <c r="BX19" s="7">
        <v>7383.08</v>
      </c>
      <c r="BY19" s="8"/>
      <c r="BZ19" s="7">
        <v>29532.3</v>
      </c>
      <c r="CA19" s="8"/>
      <c r="CB19" s="7">
        <v>51681.52</v>
      </c>
      <c r="CC19" s="8"/>
      <c r="CD19" s="7">
        <v>73830.740000000005</v>
      </c>
      <c r="CE19" s="8"/>
      <c r="CF19" s="7">
        <v>96148</v>
      </c>
      <c r="CG19" s="8"/>
      <c r="CH19" s="7">
        <v>120001.88</v>
      </c>
      <c r="CI19" s="8"/>
      <c r="CJ19" s="7">
        <v>167955.86</v>
      </c>
      <c r="CK19" s="8"/>
      <c r="CL19" s="7">
        <v>167377.85999999999</v>
      </c>
      <c r="CM19" s="8"/>
      <c r="CN19" s="7">
        <v>162702.36000000034</v>
      </c>
      <c r="CO19" s="8"/>
      <c r="CP19" s="7">
        <v>162702.35999999987</v>
      </c>
      <c r="CQ19" s="6"/>
      <c r="CR19" s="7">
        <v>162702.35999999987</v>
      </c>
      <c r="CS19" s="8"/>
      <c r="CT19" s="7">
        <v>251762.45999999996</v>
      </c>
      <c r="CU19" s="8"/>
      <c r="CV19" s="7">
        <v>297214.45</v>
      </c>
      <c r="CW19" s="6"/>
      <c r="CX19" s="7">
        <v>130562.4</v>
      </c>
      <c r="CY19" s="6"/>
      <c r="CZ19" s="7">
        <v>181.7000000000001</v>
      </c>
      <c r="DA19" s="8"/>
      <c r="DB19" s="7">
        <v>15.740000000000236</v>
      </c>
      <c r="DC19" s="8"/>
    </row>
    <row r="20" spans="2:107">
      <c r="B20" s="8"/>
      <c r="C20" s="8"/>
      <c r="D20" s="7"/>
      <c r="E20" s="8"/>
      <c r="F20" s="7"/>
      <c r="G20" s="8"/>
      <c r="H20" s="7"/>
      <c r="I20" s="8"/>
      <c r="J20" s="7"/>
      <c r="K20" s="8"/>
      <c r="L20" s="7"/>
      <c r="M20" s="8"/>
      <c r="N20" s="7"/>
      <c r="O20" s="8"/>
      <c r="P20" s="7"/>
      <c r="Q20" s="8"/>
      <c r="R20" s="7"/>
      <c r="S20" s="8"/>
      <c r="T20" s="7"/>
      <c r="U20" s="8"/>
      <c r="V20" s="7"/>
      <c r="W20" s="8"/>
      <c r="X20" s="7"/>
      <c r="Y20" s="8"/>
      <c r="Z20" s="7"/>
      <c r="AA20" s="8"/>
      <c r="AB20" s="7"/>
      <c r="AC20" s="8"/>
      <c r="AD20" s="7"/>
      <c r="AE20" s="8"/>
      <c r="AF20" s="7"/>
      <c r="AG20" s="8"/>
      <c r="AH20" s="7"/>
      <c r="AI20" s="8"/>
      <c r="AJ20" s="7"/>
      <c r="AK20" s="8"/>
      <c r="AL20" s="7"/>
      <c r="AM20" s="8"/>
      <c r="AN20" s="7"/>
      <c r="AO20" s="8"/>
      <c r="AP20" s="7"/>
      <c r="AQ20" s="8"/>
      <c r="AR20" s="7"/>
      <c r="AS20" s="8"/>
      <c r="AT20" s="7"/>
      <c r="AU20" s="8"/>
      <c r="AV20" s="7"/>
      <c r="AW20" s="8"/>
      <c r="AX20" s="7"/>
      <c r="AY20" s="8"/>
      <c r="AZ20" s="7"/>
      <c r="BA20" s="8"/>
      <c r="BB20" s="7"/>
      <c r="BC20" s="8"/>
      <c r="BD20" s="7"/>
      <c r="BE20" s="8"/>
      <c r="BF20" s="7"/>
      <c r="BG20" s="8"/>
      <c r="BH20" s="7"/>
      <c r="BI20" s="8"/>
      <c r="BJ20" s="7"/>
      <c r="BK20" s="8"/>
      <c r="BL20" s="7"/>
      <c r="BM20" s="8"/>
      <c r="BN20" s="7"/>
      <c r="BO20" s="8"/>
      <c r="BP20" s="7">
        <v>0</v>
      </c>
      <c r="BQ20" s="8"/>
      <c r="BR20" s="7"/>
      <c r="BS20" s="8"/>
      <c r="BT20" s="7"/>
      <c r="BU20" s="8"/>
      <c r="BV20" s="7"/>
      <c r="BW20" s="8"/>
      <c r="BX20" s="7"/>
      <c r="BY20" s="8"/>
      <c r="BZ20" s="7"/>
      <c r="CA20" s="8"/>
      <c r="CB20" s="7"/>
      <c r="CC20" s="8"/>
      <c r="CD20" s="7"/>
      <c r="CE20" s="8"/>
      <c r="CF20" s="7"/>
      <c r="CG20" s="8"/>
      <c r="CH20" s="7"/>
      <c r="CI20" s="8"/>
      <c r="CJ20" s="7"/>
      <c r="CK20" s="8"/>
      <c r="CL20" s="7"/>
      <c r="CM20" s="8"/>
      <c r="CN20" s="7"/>
      <c r="CO20" s="8"/>
      <c r="CP20" s="7"/>
      <c r="CQ20" s="8"/>
      <c r="CR20" s="7"/>
      <c r="CS20" s="8"/>
      <c r="CT20" s="7"/>
      <c r="CU20" s="8"/>
      <c r="CV20" s="7"/>
      <c r="CW20" s="8"/>
      <c r="CX20" s="7"/>
      <c r="CY20" s="8"/>
      <c r="CZ20" s="7"/>
      <c r="DA20" s="8"/>
      <c r="DB20" s="7"/>
      <c r="DC20" s="8"/>
    </row>
    <row r="21" spans="2:107">
      <c r="B21" s="6" t="s">
        <v>21</v>
      </c>
      <c r="C21" s="6"/>
      <c r="D21" s="11"/>
      <c r="E21" s="6"/>
      <c r="F21" s="11"/>
      <c r="G21" s="6"/>
      <c r="H21" s="11"/>
      <c r="I21" s="6"/>
      <c r="J21" s="11">
        <f>SUM(J6:J11,J13:J19)</f>
        <v>110043519.94000001</v>
      </c>
      <c r="K21" s="6"/>
      <c r="L21" s="11">
        <f>SUM(L6:L11,L13:L19)</f>
        <v>106471453.74000001</v>
      </c>
      <c r="M21" s="6"/>
      <c r="N21" s="11">
        <f>SUM(N6:N11,N13:N19)</f>
        <v>90217337.339999989</v>
      </c>
      <c r="O21" s="6"/>
      <c r="P21" s="11">
        <f>SUM(P6:P11,P13:P19)</f>
        <v>84203455.310000002</v>
      </c>
      <c r="Q21" s="6"/>
      <c r="R21" s="11">
        <f>SUM(R6:R11,R13:R19)</f>
        <v>79653250.25</v>
      </c>
      <c r="S21" s="6"/>
      <c r="T21" s="11">
        <f>SUM(T6:T11,T13:T19)</f>
        <v>72900576.499999985</v>
      </c>
      <c r="U21" s="6"/>
      <c r="V21" s="11">
        <f>SUM(V6:V11,V13:V19)</f>
        <v>71877745.599999979</v>
      </c>
      <c r="W21" s="6"/>
      <c r="X21" s="11">
        <f>SUM(X6:X11,X13:X19)</f>
        <v>61208630.430000007</v>
      </c>
      <c r="Y21" s="6"/>
      <c r="Z21" s="11">
        <f>SUM(Z6:Z11,Z13:Z19)</f>
        <v>61872204.399999999</v>
      </c>
      <c r="AA21" s="6"/>
      <c r="AB21" s="11">
        <f>SUM(AB6:AB11,AB13:AB19)</f>
        <v>66227073.620000005</v>
      </c>
      <c r="AC21" s="6"/>
      <c r="AD21" s="11">
        <f>SUM(AD6:AD11,AD13:AD19)</f>
        <v>64484962.349999994</v>
      </c>
      <c r="AE21" s="6"/>
      <c r="AF21" s="11">
        <f>SUM(AF6:AF11,AF13:AF19)</f>
        <v>62551406.219999976</v>
      </c>
      <c r="AG21" s="6"/>
      <c r="AH21" s="11">
        <f>SUM(AH6:AH11,AH13:AH19)</f>
        <v>63062919.279999994</v>
      </c>
      <c r="AI21" s="6"/>
      <c r="AJ21" s="11">
        <f>SUM(AJ6:AJ11,AJ13:AJ19)</f>
        <v>66050039.379999995</v>
      </c>
      <c r="AK21" s="6"/>
      <c r="AL21" s="11">
        <f>SUM(AL6:AL11,AL13:AL19)</f>
        <v>60935934.480000004</v>
      </c>
      <c r="AM21" s="6"/>
      <c r="AN21" s="11">
        <f>SUM(AN6:AN11,AN13:AN19)</f>
        <v>61429782.920000002</v>
      </c>
      <c r="AO21" s="6"/>
      <c r="AP21" s="11">
        <f>SUM(AP6:AP11,AP13:AP19)</f>
        <v>61773809.219999999</v>
      </c>
      <c r="AQ21" s="6"/>
      <c r="AR21" s="11">
        <f>SUM(AR6:AR11,AR13:AR19)</f>
        <v>62707345.470000006</v>
      </c>
      <c r="AS21" s="6"/>
      <c r="AT21" s="11">
        <f>SUM(AT6:AT11,AT13:AT19)</f>
        <v>58848579.630000003</v>
      </c>
      <c r="AU21" s="6"/>
      <c r="AV21" s="11">
        <f>SUM(AV6:AV11,AV13:AV19)</f>
        <v>59331225.199999996</v>
      </c>
      <c r="AW21" s="6"/>
      <c r="AX21" s="11">
        <f>SUM(AX6:AX11,AX13:AX19)</f>
        <v>58934374.929999992</v>
      </c>
      <c r="AY21" s="6"/>
      <c r="AZ21" s="11">
        <f>SUM(AZ6:AZ11,AZ13:AZ19)</f>
        <v>57512257.650000006</v>
      </c>
      <c r="BA21" s="6"/>
      <c r="BB21" s="11">
        <f>SUM(BB6:BB11,BB13:BB19)</f>
        <v>55528242.82</v>
      </c>
      <c r="BC21" s="6"/>
      <c r="BD21" s="11">
        <f>SUM(BD6:BD11,BD13:BD19)</f>
        <v>55388262.590000004</v>
      </c>
      <c r="BE21" s="6"/>
      <c r="BF21" s="11">
        <f>SUM(BF6:BF11,BF13:BF19)</f>
        <v>54513473.230000004</v>
      </c>
      <c r="BG21" s="6"/>
      <c r="BH21" s="11">
        <f>SUM(BH6:BH11,BH13:BH19)</f>
        <v>53922038.460000001</v>
      </c>
      <c r="BI21" s="6"/>
      <c r="BJ21" s="11">
        <f>SUM(BJ6:BJ11,BJ13:BJ19)</f>
        <v>71433369.139999986</v>
      </c>
      <c r="BK21" s="6"/>
      <c r="BL21" s="11">
        <f>SUM(BL6:BL11,BL13:BL19)</f>
        <v>69668743.659999996</v>
      </c>
      <c r="BM21" s="6"/>
      <c r="BN21" s="11">
        <f>SUM(BN6:BN11,BN13:BN19)</f>
        <v>69391467.810000017</v>
      </c>
      <c r="BO21" s="6"/>
      <c r="BP21" s="11">
        <f>SUM(BP6:BP11,BP13:BP19)</f>
        <v>68482907.120000005</v>
      </c>
      <c r="BQ21" s="6"/>
      <c r="BR21" s="11">
        <f>SUM(BR6:BR11,BR13:BR19)</f>
        <v>66624735.759999998</v>
      </c>
      <c r="BS21" s="6"/>
      <c r="BT21" s="11">
        <f>SUM(BT6:BT11,BT13:BT19)</f>
        <v>67890862.320000008</v>
      </c>
      <c r="BU21" s="6"/>
      <c r="BV21" s="11">
        <f>SUM(BV6:BV11,BV13:BV19)</f>
        <v>61995803.320000015</v>
      </c>
      <c r="BW21" s="6"/>
      <c r="BX21" s="11">
        <f>SUM(BX6:BX11,BX13:BX19)</f>
        <v>63464602.729999997</v>
      </c>
      <c r="BY21" s="6"/>
      <c r="BZ21" s="11">
        <f>SUM(BZ6:BZ11,BZ13:BZ19)</f>
        <v>62951831.350000001</v>
      </c>
      <c r="CA21" s="6"/>
      <c r="CB21" s="11">
        <f>SUM(CB6:CB11,CB13:CB19)</f>
        <v>63303498.409999996</v>
      </c>
      <c r="CC21" s="6"/>
      <c r="CD21" s="11">
        <f>SUM(CD6:CD11,CD13:CD19)</f>
        <v>61430509.329999998</v>
      </c>
      <c r="CE21" s="6"/>
      <c r="CF21" s="11">
        <f>SUM(CF6:CF11,CF13:CF19)</f>
        <v>59433045.82</v>
      </c>
      <c r="CG21" s="6"/>
      <c r="CH21" s="11">
        <f>SUM(CH6:CH11,CH13:CH19)</f>
        <v>58013941.610000007</v>
      </c>
      <c r="CI21" s="6"/>
      <c r="CJ21" s="11">
        <f>SUM(CJ6:CJ11,CJ13:CJ19)</f>
        <v>56293260.380000003</v>
      </c>
      <c r="CK21" s="6"/>
      <c r="CL21" s="11">
        <f>SUM(CL6:CL11,CL13:CL19)</f>
        <v>53176832.549999997</v>
      </c>
      <c r="CM21" s="6"/>
      <c r="CN21" s="11">
        <f>SUM(CN6:CN11,CN13:CN19)</f>
        <v>50271525.152215622</v>
      </c>
      <c r="CO21" s="6"/>
      <c r="CP21" s="11">
        <f>SUM(CP6:CP11,CP13:CP19)</f>
        <v>49579190.898148723</v>
      </c>
      <c r="CQ21" s="8"/>
      <c r="CR21" s="11">
        <f>SUM(CR6:CR11,CR13:CR19)</f>
        <v>48983662.155362278</v>
      </c>
      <c r="CS21" s="6"/>
      <c r="CT21" s="11">
        <f>SUM(CT6:CT11,CT13:CT19)</f>
        <v>43311890.259124093</v>
      </c>
      <c r="CU21" s="6"/>
      <c r="CV21" s="11">
        <f>SUM(CV6:CV11,CV13:CV19)</f>
        <v>38399141.618748032</v>
      </c>
      <c r="CW21" s="8"/>
      <c r="CX21" s="11">
        <f>SUM(CX6:CX11,CX13:CX19)</f>
        <v>26957720.314081136</v>
      </c>
      <c r="CY21" s="8"/>
      <c r="CZ21" s="11">
        <f>SUM(CZ6:CZ11,CZ13:CZ19)</f>
        <v>21846201.362671353</v>
      </c>
      <c r="DA21" s="6"/>
      <c r="DB21" s="11">
        <f>SUM(DB6:DB11,DB13:DB19)</f>
        <v>23582641.703479752</v>
      </c>
      <c r="DC21" s="6"/>
    </row>
    <row r="22" spans="2:107">
      <c r="B22" s="6"/>
      <c r="C22" s="6"/>
      <c r="D22" s="7"/>
      <c r="E22" s="6"/>
      <c r="F22" s="7"/>
      <c r="G22" s="6"/>
      <c r="H22" s="7"/>
      <c r="I22" s="6"/>
      <c r="J22" s="7"/>
      <c r="K22" s="6"/>
      <c r="L22" s="7"/>
      <c r="M22" s="6"/>
      <c r="N22" s="7"/>
      <c r="O22" s="6"/>
      <c r="P22" s="7"/>
      <c r="Q22" s="6"/>
      <c r="R22" s="7"/>
      <c r="S22" s="6"/>
      <c r="T22" s="7"/>
      <c r="U22" s="6"/>
      <c r="V22" s="7"/>
      <c r="W22" s="6"/>
      <c r="X22" s="7"/>
      <c r="Y22" s="6"/>
      <c r="Z22" s="7"/>
      <c r="AA22" s="6"/>
      <c r="AB22" s="7"/>
      <c r="AC22" s="6"/>
      <c r="AD22" s="7"/>
      <c r="AE22" s="6"/>
      <c r="AF22" s="7"/>
      <c r="AG22" s="6"/>
      <c r="AH22" s="7"/>
      <c r="AI22" s="6"/>
      <c r="AJ22" s="7"/>
      <c r="AK22" s="6"/>
      <c r="AL22" s="7"/>
      <c r="AM22" s="6"/>
      <c r="AN22" s="7"/>
      <c r="AO22" s="6"/>
      <c r="AP22" s="7"/>
      <c r="AQ22" s="6"/>
      <c r="AR22" s="7"/>
      <c r="AS22" s="6"/>
      <c r="AT22" s="7"/>
      <c r="AU22" s="6"/>
      <c r="AV22" s="7"/>
      <c r="AW22" s="6"/>
      <c r="AX22" s="7"/>
      <c r="AY22" s="6"/>
      <c r="AZ22" s="7"/>
      <c r="BA22" s="6"/>
      <c r="BB22" s="7"/>
      <c r="BC22" s="6"/>
      <c r="BD22" s="7"/>
      <c r="BE22" s="6"/>
      <c r="BF22" s="7"/>
      <c r="BG22" s="6"/>
      <c r="BH22" s="7"/>
      <c r="BI22" s="6"/>
      <c r="BJ22" s="7"/>
      <c r="BK22" s="6"/>
      <c r="BL22" s="7"/>
      <c r="BM22" s="6"/>
      <c r="BN22" s="7"/>
      <c r="BO22" s="6"/>
      <c r="BP22" s="7"/>
      <c r="BQ22" s="6"/>
      <c r="BR22" s="7"/>
      <c r="BS22" s="6"/>
      <c r="BT22" s="7"/>
      <c r="BU22" s="6"/>
      <c r="BV22" s="7"/>
      <c r="BW22" s="6"/>
      <c r="BX22" s="7"/>
      <c r="BY22" s="6"/>
      <c r="BZ22" s="7"/>
      <c r="CA22" s="6"/>
      <c r="CB22" s="7"/>
      <c r="CC22" s="6"/>
      <c r="CD22" s="7"/>
      <c r="CE22" s="6"/>
      <c r="CF22" s="7"/>
      <c r="CG22" s="6"/>
      <c r="CH22" s="7"/>
      <c r="CI22" s="6"/>
      <c r="CJ22" s="7"/>
      <c r="CK22" s="6"/>
      <c r="CL22" s="7"/>
      <c r="CM22" s="6"/>
      <c r="CN22" s="7"/>
      <c r="CO22" s="6"/>
      <c r="CP22" s="7"/>
      <c r="CQ22" s="8"/>
      <c r="CR22" s="7"/>
      <c r="CS22" s="6"/>
      <c r="CT22" s="7"/>
      <c r="CU22" s="6"/>
      <c r="CV22" s="7"/>
      <c r="CW22" s="8"/>
      <c r="CX22" s="7"/>
      <c r="CY22" s="8"/>
      <c r="CZ22" s="7"/>
      <c r="DA22" s="6"/>
      <c r="DB22" s="7"/>
      <c r="DC22" s="6"/>
    </row>
    <row r="23" spans="2:107">
      <c r="B23" s="6" t="s">
        <v>22</v>
      </c>
      <c r="C23" s="6"/>
      <c r="D23" s="7"/>
      <c r="E23" s="6"/>
      <c r="F23" s="7"/>
      <c r="G23" s="6"/>
      <c r="H23" s="7"/>
      <c r="I23" s="6"/>
      <c r="J23" s="7"/>
      <c r="K23" s="6"/>
      <c r="L23" s="7"/>
      <c r="M23" s="6"/>
      <c r="N23" s="7"/>
      <c r="O23" s="6"/>
      <c r="P23" s="7"/>
      <c r="Q23" s="6"/>
      <c r="R23" s="7"/>
      <c r="S23" s="6"/>
      <c r="T23" s="7"/>
      <c r="U23" s="6"/>
      <c r="V23" s="7"/>
      <c r="W23" s="6"/>
      <c r="X23" s="7"/>
      <c r="Y23" s="6"/>
      <c r="Z23" s="7"/>
      <c r="AA23" s="6"/>
      <c r="AB23" s="7"/>
      <c r="AC23" s="6"/>
      <c r="AD23" s="7"/>
      <c r="AE23" s="6"/>
      <c r="AF23" s="7"/>
      <c r="AG23" s="6"/>
      <c r="AH23" s="7"/>
      <c r="AI23" s="6"/>
      <c r="AJ23" s="7"/>
      <c r="AK23" s="6"/>
      <c r="AL23" s="7"/>
      <c r="AM23" s="6"/>
      <c r="AN23" s="7"/>
      <c r="AO23" s="6"/>
      <c r="AP23" s="7"/>
      <c r="AQ23" s="6"/>
      <c r="AR23" s="7"/>
      <c r="AS23" s="6"/>
      <c r="AT23" s="7"/>
      <c r="AU23" s="6"/>
      <c r="AV23" s="7"/>
      <c r="AW23" s="6"/>
      <c r="AX23" s="7"/>
      <c r="AY23" s="6"/>
      <c r="AZ23" s="7"/>
      <c r="BA23" s="6"/>
      <c r="BB23" s="7"/>
      <c r="BC23" s="6"/>
      <c r="BD23" s="7"/>
      <c r="BE23" s="6"/>
      <c r="BF23" s="7"/>
      <c r="BG23" s="6"/>
      <c r="BH23" s="7"/>
      <c r="BI23" s="6"/>
      <c r="BJ23" s="7"/>
      <c r="BK23" s="6"/>
      <c r="BL23" s="7"/>
      <c r="BM23" s="6"/>
      <c r="BN23" s="7"/>
      <c r="BO23" s="6"/>
      <c r="BP23" s="7"/>
      <c r="BQ23" s="6"/>
      <c r="BR23" s="7"/>
      <c r="BS23" s="6"/>
      <c r="BT23" s="7"/>
      <c r="BU23" s="6"/>
      <c r="BV23" s="7"/>
      <c r="BW23" s="6"/>
      <c r="BX23" s="7"/>
      <c r="BY23" s="6"/>
      <c r="BZ23" s="7"/>
      <c r="CA23" s="6"/>
      <c r="CB23" s="7"/>
      <c r="CC23" s="6"/>
      <c r="CD23" s="7"/>
      <c r="CE23" s="6"/>
      <c r="CF23" s="7"/>
      <c r="CG23" s="6"/>
      <c r="CH23" s="7"/>
      <c r="CI23" s="6"/>
      <c r="CJ23" s="7"/>
      <c r="CK23" s="6"/>
      <c r="CL23" s="7"/>
      <c r="CM23" s="6"/>
      <c r="CN23" s="7"/>
      <c r="CO23" s="6"/>
      <c r="CP23" s="7"/>
      <c r="CQ23" s="8"/>
      <c r="CR23" s="7"/>
      <c r="CS23" s="6"/>
      <c r="CT23" s="7"/>
      <c r="CU23" s="6"/>
      <c r="CV23" s="7"/>
      <c r="CW23" s="8"/>
      <c r="CX23" s="7"/>
      <c r="CY23" s="8"/>
      <c r="CZ23" s="7"/>
      <c r="DA23" s="6"/>
      <c r="DB23" s="7"/>
      <c r="DC23" s="6"/>
    </row>
    <row r="24" spans="2:107">
      <c r="B24" s="8" t="s">
        <v>23</v>
      </c>
      <c r="C24" s="8"/>
      <c r="D24" s="7"/>
      <c r="E24" s="8"/>
      <c r="F24" s="7"/>
      <c r="G24" s="8"/>
      <c r="H24" s="7"/>
      <c r="I24" s="8"/>
      <c r="J24" s="7">
        <v>22054121.32</v>
      </c>
      <c r="K24" s="8"/>
      <c r="L24" s="7">
        <v>6507797.8399999999</v>
      </c>
      <c r="M24" s="8"/>
      <c r="N24" s="7">
        <v>12617409.08</v>
      </c>
      <c r="O24" s="8"/>
      <c r="P24" s="7">
        <v>18412463.299999997</v>
      </c>
      <c r="Q24" s="8"/>
      <c r="R24" s="7">
        <v>11250569.48</v>
      </c>
      <c r="S24" s="8"/>
      <c r="T24" s="7">
        <v>15922950.34</v>
      </c>
      <c r="U24" s="8"/>
      <c r="V24" s="7">
        <v>23025804.420000002</v>
      </c>
      <c r="W24" s="8"/>
      <c r="X24" s="7">
        <v>23691907.59</v>
      </c>
      <c r="Y24" s="8"/>
      <c r="Z24" s="7">
        <v>9971988.6199999992</v>
      </c>
      <c r="AA24" s="8"/>
      <c r="AB24" s="7">
        <v>31780381.949999999</v>
      </c>
      <c r="AC24" s="8"/>
      <c r="AD24" s="7">
        <v>19518638.789999999</v>
      </c>
      <c r="AE24" s="8"/>
      <c r="AF24" s="7">
        <v>9116500.9199999999</v>
      </c>
      <c r="AG24" s="8"/>
      <c r="AH24" s="7">
        <v>15325900.07</v>
      </c>
      <c r="AI24" s="8"/>
      <c r="AJ24" s="7">
        <v>1835205.29</v>
      </c>
      <c r="AK24" s="8"/>
      <c r="AL24" s="7">
        <v>9896842.1699999999</v>
      </c>
      <c r="AM24" s="8"/>
      <c r="AN24" s="7">
        <v>1942910.66</v>
      </c>
      <c r="AO24" s="8"/>
      <c r="AP24" s="7">
        <v>5314160.26</v>
      </c>
      <c r="AQ24" s="8"/>
      <c r="AR24" s="7">
        <v>4776141.59</v>
      </c>
      <c r="AS24" s="8"/>
      <c r="AT24" s="7">
        <v>1294647.08</v>
      </c>
      <c r="AU24" s="8"/>
      <c r="AV24" s="7">
        <v>9078642.8000000007</v>
      </c>
      <c r="AW24" s="8"/>
      <c r="AX24" s="7">
        <v>17694988.210000001</v>
      </c>
      <c r="AY24" s="8"/>
      <c r="AZ24" s="7">
        <v>1829892.5</v>
      </c>
      <c r="BA24" s="8"/>
      <c r="BB24" s="7">
        <v>4183441.66</v>
      </c>
      <c r="BC24" s="8"/>
      <c r="BD24" s="7">
        <v>3450497.1500000004</v>
      </c>
      <c r="BE24" s="8"/>
      <c r="BF24" s="7">
        <v>3057630.5900000003</v>
      </c>
      <c r="BG24" s="8"/>
      <c r="BH24" s="7">
        <v>3715957.8</v>
      </c>
      <c r="BI24" s="8"/>
      <c r="BJ24" s="7">
        <v>4310465.05</v>
      </c>
      <c r="BK24" s="8"/>
      <c r="BL24" s="7">
        <v>4290561.93</v>
      </c>
      <c r="BM24" s="8"/>
      <c r="BN24" s="7">
        <v>4345047.18</v>
      </c>
      <c r="BO24" s="8"/>
      <c r="BP24" s="7">
        <v>2379192.9900000002</v>
      </c>
      <c r="BQ24" s="8"/>
      <c r="BR24" s="7">
        <v>2949507.69</v>
      </c>
      <c r="BS24" s="8"/>
      <c r="BT24" s="7">
        <v>5253760.32</v>
      </c>
      <c r="BU24" s="8"/>
      <c r="BV24" s="7">
        <v>4876717.1499999994</v>
      </c>
      <c r="BW24" s="8"/>
      <c r="BX24" s="7">
        <v>5053315.3699999992</v>
      </c>
      <c r="BY24" s="8"/>
      <c r="BZ24" s="7">
        <v>4248431.6499999994</v>
      </c>
      <c r="CA24" s="8"/>
      <c r="CB24" s="7">
        <v>4163656.08</v>
      </c>
      <c r="CC24" s="8"/>
      <c r="CD24" s="7">
        <v>4051645.6599999997</v>
      </c>
      <c r="CE24" s="8"/>
      <c r="CF24" s="7">
        <v>4112498.0500000003</v>
      </c>
      <c r="CG24" s="8"/>
      <c r="CH24" s="7">
        <v>4110113.08</v>
      </c>
      <c r="CI24" s="8"/>
      <c r="CJ24" s="7">
        <v>3325993.18</v>
      </c>
      <c r="CK24" s="8"/>
      <c r="CL24" s="7">
        <v>1888302.74</v>
      </c>
      <c r="CM24" s="8"/>
      <c r="CN24" s="7">
        <v>1359499.08</v>
      </c>
      <c r="CO24" s="8"/>
      <c r="CP24" s="7">
        <v>1243849.93</v>
      </c>
      <c r="CQ24" s="8"/>
      <c r="CR24" s="7">
        <v>1262976.53</v>
      </c>
      <c r="CS24" s="8"/>
      <c r="CT24" s="7">
        <v>1083744.3999999999</v>
      </c>
      <c r="CU24" s="8"/>
      <c r="CV24" s="7">
        <v>4952415.91</v>
      </c>
      <c r="CW24" s="8"/>
      <c r="CX24" s="7">
        <v>5666148.79</v>
      </c>
      <c r="CY24" s="8"/>
      <c r="CZ24" s="7">
        <v>1803775.86</v>
      </c>
      <c r="DA24" s="8"/>
      <c r="DB24" s="7">
        <v>1072110.79</v>
      </c>
      <c r="DC24" s="8"/>
    </row>
    <row r="25" spans="2:107">
      <c r="B25" s="8" t="s">
        <v>13</v>
      </c>
      <c r="C25" s="8"/>
      <c r="D25" s="7"/>
      <c r="E25" s="8"/>
      <c r="F25" s="7"/>
      <c r="G25" s="8"/>
      <c r="H25" s="7"/>
      <c r="I25" s="8"/>
      <c r="J25" s="7">
        <v>50336046.890000001</v>
      </c>
      <c r="K25" s="8"/>
      <c r="L25" s="7">
        <v>89476602.019999996</v>
      </c>
      <c r="M25" s="8"/>
      <c r="N25" s="7">
        <v>60451318.55999998</v>
      </c>
      <c r="O25" s="8"/>
      <c r="P25" s="7">
        <v>48108269.159999996</v>
      </c>
      <c r="Q25" s="8"/>
      <c r="R25" s="7">
        <v>38772331.280000001</v>
      </c>
      <c r="S25" s="8"/>
      <c r="T25" s="7">
        <v>50103886.709999993</v>
      </c>
      <c r="U25" s="8"/>
      <c r="V25" s="7">
        <v>36040980.129999995</v>
      </c>
      <c r="W25" s="8"/>
      <c r="X25" s="7">
        <v>36148460.050000004</v>
      </c>
      <c r="Y25" s="8"/>
      <c r="Z25" s="7">
        <v>33592805.829999998</v>
      </c>
      <c r="AA25" s="8"/>
      <c r="AB25" s="7">
        <v>36590005.230000004</v>
      </c>
      <c r="AC25" s="8"/>
      <c r="AD25" s="7">
        <v>14952655.000000002</v>
      </c>
      <c r="AE25" s="8"/>
      <c r="AF25" s="7">
        <v>31268713.859999999</v>
      </c>
      <c r="AG25" s="8"/>
      <c r="AH25" s="7">
        <v>12276201.1</v>
      </c>
      <c r="AI25" s="8"/>
      <c r="AJ25" s="7">
        <v>32515647.830000002</v>
      </c>
      <c r="AK25" s="8"/>
      <c r="AL25" s="7">
        <v>11427064.390000001</v>
      </c>
      <c r="AM25" s="8"/>
      <c r="AN25" s="7">
        <v>15893820.859999999</v>
      </c>
      <c r="AO25" s="8"/>
      <c r="AP25" s="7">
        <v>14118969.43</v>
      </c>
      <c r="AQ25" s="8"/>
      <c r="AR25" s="7">
        <v>22883342.610000003</v>
      </c>
      <c r="AS25" s="8"/>
      <c r="AT25" s="7">
        <v>14969187.220000001</v>
      </c>
      <c r="AU25" s="8"/>
      <c r="AV25" s="7">
        <v>28099812.199999999</v>
      </c>
      <c r="AW25" s="8"/>
      <c r="AX25" s="7">
        <v>16842347.899999999</v>
      </c>
      <c r="AY25" s="8"/>
      <c r="AZ25" s="7">
        <v>23052196.719999991</v>
      </c>
      <c r="BA25" s="8"/>
      <c r="BB25" s="7">
        <v>13998580.200000001</v>
      </c>
      <c r="BC25" s="8"/>
      <c r="BD25" s="7">
        <v>14786602.740000002</v>
      </c>
      <c r="BE25" s="8"/>
      <c r="BF25" s="7">
        <v>20379074.559999999</v>
      </c>
      <c r="BG25" s="8"/>
      <c r="BH25" s="7">
        <v>12984536.16</v>
      </c>
      <c r="BI25" s="8"/>
      <c r="BJ25" s="7">
        <v>7846471.379999999</v>
      </c>
      <c r="BK25" s="8"/>
      <c r="BL25" s="7">
        <v>8462967.2400000002</v>
      </c>
      <c r="BM25" s="8"/>
      <c r="BN25" s="7">
        <v>10701912.239999998</v>
      </c>
      <c r="BO25" s="8"/>
      <c r="BP25" s="7">
        <v>14101627.35</v>
      </c>
      <c r="BQ25" s="8"/>
      <c r="BR25" s="7">
        <v>10263485.979999999</v>
      </c>
      <c r="BS25" s="8"/>
      <c r="BT25" s="7">
        <v>7099339.2999999989</v>
      </c>
      <c r="BU25" s="8"/>
      <c r="BV25" s="7">
        <v>13404881.640000002</v>
      </c>
      <c r="BW25" s="8"/>
      <c r="BX25" s="7">
        <v>14561664.089999998</v>
      </c>
      <c r="BY25" s="8"/>
      <c r="BZ25" s="7">
        <v>7618116.6799999997</v>
      </c>
      <c r="CA25" s="8"/>
      <c r="CB25" s="7">
        <v>6865226.96</v>
      </c>
      <c r="CC25" s="8"/>
      <c r="CD25" s="7">
        <v>16077200.82</v>
      </c>
      <c r="CE25" s="8"/>
      <c r="CF25" s="7">
        <v>25749441.010000002</v>
      </c>
      <c r="CG25" s="8"/>
      <c r="CH25" s="7">
        <v>8443937.5600000005</v>
      </c>
      <c r="CI25" s="8"/>
      <c r="CJ25" s="7">
        <v>15445417.210000001</v>
      </c>
      <c r="CK25" s="8"/>
      <c r="CL25" s="7">
        <v>17308587.940000001</v>
      </c>
      <c r="CM25" s="8"/>
      <c r="CN25" s="7">
        <v>35699108.389999993</v>
      </c>
      <c r="CO25" s="8"/>
      <c r="CP25" s="7">
        <v>24784549.169999998</v>
      </c>
      <c r="CQ25" s="8"/>
      <c r="CR25" s="7">
        <v>21087465.180000003</v>
      </c>
      <c r="CS25" s="8"/>
      <c r="CT25" s="7">
        <v>23908011.739999998</v>
      </c>
      <c r="CU25" s="8"/>
      <c r="CV25" s="7">
        <v>18696362.870000001</v>
      </c>
      <c r="CW25" s="8"/>
      <c r="CX25" s="7">
        <v>9611382.0199999977</v>
      </c>
      <c r="CY25" s="8"/>
      <c r="CZ25" s="7">
        <v>22952102.359999999</v>
      </c>
      <c r="DA25" s="8"/>
      <c r="DB25" s="7">
        <v>8901296.9800000004</v>
      </c>
      <c r="DC25" s="8"/>
    </row>
    <row r="26" spans="2:107" hidden="1">
      <c r="B26" s="8" t="s">
        <v>14</v>
      </c>
      <c r="C26" s="8"/>
      <c r="D26" s="7"/>
      <c r="E26" s="8"/>
      <c r="F26" s="7"/>
      <c r="G26" s="8"/>
      <c r="H26" s="7"/>
      <c r="I26" s="8"/>
      <c r="J26" s="7"/>
      <c r="K26" s="8"/>
      <c r="L26" s="7"/>
      <c r="M26" s="8"/>
      <c r="N26" s="7"/>
      <c r="O26" s="8"/>
      <c r="P26" s="7"/>
      <c r="Q26" s="8"/>
      <c r="R26" s="7"/>
      <c r="S26" s="8"/>
      <c r="T26" s="7"/>
      <c r="U26" s="8"/>
      <c r="V26" s="7"/>
      <c r="W26" s="8"/>
      <c r="X26" s="7"/>
      <c r="Y26" s="8"/>
      <c r="Z26" s="7"/>
      <c r="AA26" s="8"/>
      <c r="AB26" s="7"/>
      <c r="AC26" s="8"/>
      <c r="AD26" s="7"/>
      <c r="AE26" s="8"/>
      <c r="AF26" s="7"/>
      <c r="AG26" s="8"/>
      <c r="AH26" s="7"/>
      <c r="AI26" s="8"/>
      <c r="AJ26" s="7"/>
      <c r="AK26" s="8"/>
      <c r="AL26" s="7"/>
      <c r="AM26" s="8"/>
      <c r="AN26" s="7"/>
      <c r="AO26" s="8"/>
      <c r="AP26" s="7"/>
      <c r="AQ26" s="8"/>
      <c r="AR26" s="7">
        <v>2709705.95</v>
      </c>
      <c r="AS26" s="8"/>
      <c r="AT26" s="7"/>
      <c r="AU26" s="8"/>
      <c r="AV26" s="7"/>
      <c r="AW26" s="8"/>
      <c r="AX26" s="7">
        <v>1666119.17</v>
      </c>
      <c r="AY26" s="8"/>
      <c r="AZ26" s="7"/>
      <c r="BA26" s="8"/>
      <c r="BB26" s="7"/>
      <c r="BC26" s="8"/>
      <c r="BD26" s="7"/>
      <c r="BE26" s="8"/>
      <c r="BF26" s="7"/>
      <c r="BG26" s="8"/>
      <c r="BH26" s="7">
        <v>0</v>
      </c>
      <c r="BI26" s="8"/>
      <c r="BJ26" s="7">
        <v>0</v>
      </c>
      <c r="BK26" s="8"/>
      <c r="BL26" s="7">
        <v>0</v>
      </c>
      <c r="BM26" s="8"/>
      <c r="BN26" s="7">
        <v>0</v>
      </c>
      <c r="BO26" s="8"/>
      <c r="BP26" s="7">
        <v>0</v>
      </c>
      <c r="BQ26" s="8"/>
      <c r="BR26" s="7"/>
      <c r="BS26" s="8"/>
      <c r="BT26" s="7"/>
      <c r="BU26" s="8"/>
      <c r="BV26" s="7"/>
      <c r="BW26" s="8"/>
      <c r="BX26" s="7"/>
      <c r="BY26" s="8"/>
      <c r="BZ26" s="7"/>
      <c r="CA26" s="8"/>
      <c r="CB26" s="7"/>
      <c r="CC26" s="8"/>
      <c r="CD26" s="7"/>
      <c r="CE26" s="8"/>
      <c r="CF26" s="7"/>
      <c r="CG26" s="8"/>
      <c r="CH26" s="7"/>
      <c r="CI26" s="8"/>
      <c r="CJ26" s="7"/>
      <c r="CK26" s="8"/>
      <c r="CL26" s="7"/>
      <c r="CM26" s="8"/>
      <c r="CN26" s="7"/>
      <c r="CO26" s="8"/>
      <c r="CP26" s="7"/>
      <c r="CQ26" s="9"/>
      <c r="CR26" s="7"/>
      <c r="CS26" s="8"/>
      <c r="CT26" s="7"/>
      <c r="CU26" s="8"/>
      <c r="CV26" s="7"/>
      <c r="CW26" s="9"/>
      <c r="CX26" s="7"/>
      <c r="CY26" s="9"/>
      <c r="CZ26" s="7"/>
      <c r="DA26" s="8"/>
      <c r="DB26" s="7"/>
      <c r="DC26" s="8"/>
    </row>
    <row r="27" spans="2:107">
      <c r="B27" s="8" t="s">
        <v>15</v>
      </c>
      <c r="C27" s="10"/>
      <c r="D27" s="7"/>
      <c r="E27" s="10"/>
      <c r="F27" s="7"/>
      <c r="G27" s="10"/>
      <c r="H27" s="7"/>
      <c r="I27" s="10"/>
      <c r="J27" s="7">
        <v>2037915.76</v>
      </c>
      <c r="K27" s="10"/>
      <c r="L27" s="7">
        <v>2006298.01</v>
      </c>
      <c r="M27" s="10"/>
      <c r="N27" s="7">
        <v>4732194.3099999996</v>
      </c>
      <c r="O27" s="10"/>
      <c r="P27" s="7">
        <v>4643325.96</v>
      </c>
      <c r="Q27" s="10"/>
      <c r="R27" s="7">
        <v>4670283.33</v>
      </c>
      <c r="S27" s="10"/>
      <c r="T27" s="7">
        <v>1880113.25</v>
      </c>
      <c r="U27" s="10"/>
      <c r="V27" s="7">
        <v>1848777.8</v>
      </c>
      <c r="W27" s="10"/>
      <c r="X27" s="7">
        <v>1813788.21</v>
      </c>
      <c r="Y27" s="10"/>
      <c r="Z27" s="7">
        <v>1720204.93</v>
      </c>
      <c r="AA27" s="10"/>
      <c r="AB27" s="7">
        <v>1704880</v>
      </c>
      <c r="AC27" s="10"/>
      <c r="AD27" s="7">
        <v>2371974.9900000002</v>
      </c>
      <c r="AE27" s="10"/>
      <c r="AF27" s="7">
        <v>2349364.34</v>
      </c>
      <c r="AG27" s="10"/>
      <c r="AH27" s="7">
        <v>1737474.46</v>
      </c>
      <c r="AI27" s="10"/>
      <c r="AJ27" s="7">
        <v>1648880</v>
      </c>
      <c r="AK27" s="10"/>
      <c r="AL27" s="7">
        <v>1638355.07</v>
      </c>
      <c r="AM27" s="10"/>
      <c r="AN27" s="7">
        <v>1627996.71</v>
      </c>
      <c r="AO27" s="10"/>
      <c r="AP27" s="7">
        <v>554176.69999999995</v>
      </c>
      <c r="AQ27" s="10"/>
      <c r="AR27" s="7">
        <v>1725610.95</v>
      </c>
      <c r="AS27" s="10"/>
      <c r="AT27" s="7">
        <v>1705635.61</v>
      </c>
      <c r="AU27" s="10"/>
      <c r="AV27" s="7">
        <v>1685877.39</v>
      </c>
      <c r="AW27" s="10"/>
      <c r="AX27" s="7">
        <v>1666119.17</v>
      </c>
      <c r="AY27" s="10"/>
      <c r="AZ27" s="7">
        <v>1646143.83</v>
      </c>
      <c r="BA27" s="10"/>
      <c r="BB27" s="7">
        <v>1626168.49</v>
      </c>
      <c r="BC27" s="10"/>
      <c r="BD27" s="7">
        <v>1606410.27</v>
      </c>
      <c r="BE27" s="10"/>
      <c r="BF27" s="7">
        <v>953465.75</v>
      </c>
      <c r="BG27" s="10"/>
      <c r="BH27" s="7">
        <v>0</v>
      </c>
      <c r="BI27" s="10"/>
      <c r="BJ27" s="7">
        <v>0</v>
      </c>
      <c r="BK27" s="10"/>
      <c r="BL27" s="7">
        <v>0</v>
      </c>
      <c r="BM27" s="10"/>
      <c r="BN27" s="7">
        <v>0</v>
      </c>
      <c r="BO27" s="10"/>
      <c r="BP27" s="7">
        <v>0</v>
      </c>
      <c r="BQ27" s="10"/>
      <c r="BR27" s="7">
        <v>0</v>
      </c>
      <c r="BS27" s="10"/>
      <c r="BT27" s="7">
        <v>0</v>
      </c>
      <c r="BU27" s="10"/>
      <c r="BV27" s="7">
        <v>0</v>
      </c>
      <c r="BW27" s="10"/>
      <c r="BX27" s="7">
        <v>0</v>
      </c>
      <c r="BY27" s="10"/>
      <c r="BZ27" s="7">
        <v>0</v>
      </c>
      <c r="CA27" s="10"/>
      <c r="CB27" s="7">
        <v>0</v>
      </c>
      <c r="CC27" s="10"/>
      <c r="CD27" s="7">
        <v>0</v>
      </c>
      <c r="CE27" s="10"/>
      <c r="CF27" s="7">
        <v>0</v>
      </c>
      <c r="CG27" s="10"/>
      <c r="CH27" s="7">
        <v>0</v>
      </c>
      <c r="CI27" s="10"/>
      <c r="CJ27" s="7">
        <v>0</v>
      </c>
      <c r="CK27" s="10"/>
      <c r="CL27" s="7">
        <v>0</v>
      </c>
      <c r="CM27" s="10"/>
      <c r="CN27" s="7">
        <v>0</v>
      </c>
      <c r="CO27" s="10"/>
      <c r="CP27" s="7">
        <v>0</v>
      </c>
      <c r="CQ27" s="8"/>
      <c r="CR27" s="7">
        <v>249433.42</v>
      </c>
      <c r="CS27" s="10"/>
      <c r="CT27" s="7">
        <v>120152.87</v>
      </c>
      <c r="CU27" s="10"/>
      <c r="CV27" s="7">
        <v>2385318.04</v>
      </c>
      <c r="CW27" s="8"/>
      <c r="CX27" s="7">
        <v>2328766.2599999998</v>
      </c>
      <c r="CY27" s="8"/>
      <c r="CZ27" s="7">
        <v>2207332.83</v>
      </c>
      <c r="DA27" s="8"/>
      <c r="DB27" s="7">
        <v>0</v>
      </c>
      <c r="DC27" s="10"/>
    </row>
    <row r="28" spans="2:107">
      <c r="B28" s="8" t="s">
        <v>16</v>
      </c>
      <c r="C28" s="10"/>
      <c r="D28" s="7"/>
      <c r="E28" s="10"/>
      <c r="F28" s="7"/>
      <c r="G28" s="10"/>
      <c r="H28" s="7"/>
      <c r="I28" s="10"/>
      <c r="J28" s="7">
        <v>0</v>
      </c>
      <c r="K28" s="10"/>
      <c r="L28" s="7">
        <v>0</v>
      </c>
      <c r="M28" s="10"/>
      <c r="N28" s="7">
        <v>0</v>
      </c>
      <c r="O28" s="10"/>
      <c r="P28" s="7">
        <v>0</v>
      </c>
      <c r="Q28" s="10"/>
      <c r="R28" s="7">
        <v>0</v>
      </c>
      <c r="S28" s="10"/>
      <c r="T28" s="7">
        <v>0</v>
      </c>
      <c r="U28" s="10"/>
      <c r="V28" s="7">
        <v>0</v>
      </c>
      <c r="W28" s="10"/>
      <c r="X28" s="7">
        <v>0</v>
      </c>
      <c r="Y28" s="10"/>
      <c r="Z28" s="7">
        <v>0</v>
      </c>
      <c r="AA28" s="10"/>
      <c r="AB28" s="7">
        <v>0</v>
      </c>
      <c r="AC28" s="10"/>
      <c r="AD28" s="7">
        <v>0</v>
      </c>
      <c r="AE28" s="10"/>
      <c r="AF28" s="7">
        <v>0</v>
      </c>
      <c r="AG28" s="10"/>
      <c r="AH28" s="7">
        <v>0</v>
      </c>
      <c r="AI28" s="10"/>
      <c r="AJ28" s="7">
        <v>0</v>
      </c>
      <c r="AK28" s="10"/>
      <c r="AL28" s="7">
        <v>0</v>
      </c>
      <c r="AM28" s="10"/>
      <c r="AN28" s="7">
        <v>0</v>
      </c>
      <c r="AO28" s="10"/>
      <c r="AP28" s="7">
        <v>0</v>
      </c>
      <c r="AQ28" s="10"/>
      <c r="AR28" s="7">
        <v>0</v>
      </c>
      <c r="AS28" s="10"/>
      <c r="AT28" s="7">
        <v>0</v>
      </c>
      <c r="AU28" s="10"/>
      <c r="AV28" s="7">
        <v>0</v>
      </c>
      <c r="AW28" s="10"/>
      <c r="AX28" s="7">
        <v>0</v>
      </c>
      <c r="AY28" s="10"/>
      <c r="AZ28" s="7">
        <v>0</v>
      </c>
      <c r="BA28" s="10"/>
      <c r="BB28" s="7">
        <v>0</v>
      </c>
      <c r="BC28" s="10"/>
      <c r="BD28" s="7">
        <v>0</v>
      </c>
      <c r="BE28" s="10"/>
      <c r="BF28" s="7">
        <v>0</v>
      </c>
      <c r="BG28" s="10"/>
      <c r="BH28" s="7">
        <v>0</v>
      </c>
      <c r="BI28" s="10"/>
      <c r="BJ28" s="7">
        <v>0</v>
      </c>
      <c r="BK28" s="10"/>
      <c r="BL28" s="7">
        <v>0</v>
      </c>
      <c r="BM28" s="10"/>
      <c r="BN28" s="7">
        <v>0</v>
      </c>
      <c r="BO28" s="10"/>
      <c r="BP28" s="7">
        <v>0</v>
      </c>
      <c r="BQ28" s="10"/>
      <c r="BR28" s="7">
        <v>0</v>
      </c>
      <c r="BS28" s="10"/>
      <c r="BT28" s="7">
        <v>0</v>
      </c>
      <c r="BU28" s="10"/>
      <c r="BV28" s="7">
        <v>0</v>
      </c>
      <c r="BW28" s="10"/>
      <c r="BX28" s="7">
        <v>0</v>
      </c>
      <c r="BY28" s="10"/>
      <c r="BZ28" s="7">
        <v>0</v>
      </c>
      <c r="CA28" s="10"/>
      <c r="CB28" s="7">
        <v>0</v>
      </c>
      <c r="CC28" s="10"/>
      <c r="CD28" s="7">
        <v>0</v>
      </c>
      <c r="CE28" s="10"/>
      <c r="CF28" s="7">
        <v>0</v>
      </c>
      <c r="CG28" s="10"/>
      <c r="CH28" s="7">
        <v>0</v>
      </c>
      <c r="CI28" s="10"/>
      <c r="CJ28" s="7">
        <v>0</v>
      </c>
      <c r="CK28" s="10"/>
      <c r="CL28" s="7">
        <v>0</v>
      </c>
      <c r="CM28" s="10"/>
      <c r="CN28" s="7">
        <v>0</v>
      </c>
      <c r="CO28" s="10"/>
      <c r="CP28" s="7">
        <v>0</v>
      </c>
      <c r="CQ28" s="9"/>
      <c r="CR28" s="7">
        <v>0</v>
      </c>
      <c r="CS28" s="10"/>
      <c r="CT28" s="7">
        <v>0</v>
      </c>
      <c r="CU28" s="10"/>
      <c r="CV28" s="7">
        <v>0</v>
      </c>
      <c r="CW28" s="9"/>
      <c r="CX28" s="7">
        <v>0</v>
      </c>
      <c r="CY28" s="9"/>
      <c r="CZ28" s="7">
        <v>0</v>
      </c>
      <c r="DA28" s="8"/>
      <c r="DB28" s="7">
        <v>0</v>
      </c>
      <c r="DC28" s="10"/>
    </row>
    <row r="29" spans="2:107">
      <c r="B29" s="8" t="s">
        <v>17</v>
      </c>
      <c r="C29" s="10"/>
      <c r="D29" s="7"/>
      <c r="E29" s="10"/>
      <c r="F29" s="7"/>
      <c r="G29" s="10"/>
      <c r="H29" s="7"/>
      <c r="I29" s="10"/>
      <c r="J29" s="7">
        <v>0</v>
      </c>
      <c r="K29" s="10"/>
      <c r="L29" s="7">
        <v>0</v>
      </c>
      <c r="M29" s="10"/>
      <c r="N29" s="7">
        <v>0</v>
      </c>
      <c r="O29" s="10"/>
      <c r="P29" s="7">
        <v>0</v>
      </c>
      <c r="Q29" s="10"/>
      <c r="R29" s="7">
        <v>0</v>
      </c>
      <c r="S29" s="10"/>
      <c r="T29" s="7">
        <v>0</v>
      </c>
      <c r="U29" s="10"/>
      <c r="V29" s="7">
        <v>0</v>
      </c>
      <c r="W29" s="10"/>
      <c r="X29" s="7">
        <v>0</v>
      </c>
      <c r="Y29" s="10"/>
      <c r="Z29" s="7">
        <v>0</v>
      </c>
      <c r="AA29" s="10"/>
      <c r="AB29" s="7">
        <v>0</v>
      </c>
      <c r="AC29" s="10"/>
      <c r="AD29" s="7">
        <v>0</v>
      </c>
      <c r="AE29" s="10"/>
      <c r="AF29" s="7">
        <v>0</v>
      </c>
      <c r="AG29" s="10"/>
      <c r="AH29" s="7">
        <v>0</v>
      </c>
      <c r="AI29" s="10"/>
      <c r="AJ29" s="7">
        <v>0</v>
      </c>
      <c r="AK29" s="10"/>
      <c r="AL29" s="7">
        <v>0</v>
      </c>
      <c r="AM29" s="10"/>
      <c r="AN29" s="7">
        <v>0</v>
      </c>
      <c r="AO29" s="10"/>
      <c r="AP29" s="7">
        <v>0</v>
      </c>
      <c r="AQ29" s="10"/>
      <c r="AR29" s="7">
        <v>0</v>
      </c>
      <c r="AS29" s="10"/>
      <c r="AT29" s="7">
        <v>0</v>
      </c>
      <c r="AU29" s="10"/>
      <c r="AV29" s="7">
        <v>0</v>
      </c>
      <c r="AW29" s="10"/>
      <c r="AX29" s="7">
        <v>0</v>
      </c>
      <c r="AY29" s="10"/>
      <c r="AZ29" s="7">
        <v>0</v>
      </c>
      <c r="BA29" s="10"/>
      <c r="BB29" s="7">
        <v>0</v>
      </c>
      <c r="BC29" s="10"/>
      <c r="BD29" s="7">
        <v>0</v>
      </c>
      <c r="BE29" s="10"/>
      <c r="BF29" s="7">
        <v>0</v>
      </c>
      <c r="BG29" s="10"/>
      <c r="BH29" s="7">
        <v>0</v>
      </c>
      <c r="BI29" s="10"/>
      <c r="BJ29" s="7">
        <v>0</v>
      </c>
      <c r="BK29" s="10"/>
      <c r="BL29" s="7">
        <v>0</v>
      </c>
      <c r="BM29" s="10"/>
      <c r="BN29" s="7">
        <v>0</v>
      </c>
      <c r="BO29" s="10"/>
      <c r="BP29" s="7">
        <v>0</v>
      </c>
      <c r="BQ29" s="10"/>
      <c r="BR29" s="7">
        <v>0</v>
      </c>
      <c r="BS29" s="10"/>
      <c r="BT29" s="7">
        <v>0</v>
      </c>
      <c r="BU29" s="10"/>
      <c r="BV29" s="7">
        <v>0</v>
      </c>
      <c r="BW29" s="10"/>
      <c r="BX29" s="7">
        <v>0</v>
      </c>
      <c r="BY29" s="10"/>
      <c r="BZ29" s="7">
        <v>0</v>
      </c>
      <c r="CA29" s="10"/>
      <c r="CB29" s="7">
        <v>0</v>
      </c>
      <c r="CC29" s="10"/>
      <c r="CD29" s="7">
        <v>0</v>
      </c>
      <c r="CE29" s="10"/>
      <c r="CF29" s="7">
        <v>0</v>
      </c>
      <c r="CG29" s="10"/>
      <c r="CH29" s="7">
        <v>0</v>
      </c>
      <c r="CI29" s="10"/>
      <c r="CJ29" s="7">
        <v>0</v>
      </c>
      <c r="CK29" s="10"/>
      <c r="CL29" s="7">
        <v>0</v>
      </c>
      <c r="CM29" s="10"/>
      <c r="CN29" s="7">
        <v>0</v>
      </c>
      <c r="CO29" s="10"/>
      <c r="CP29" s="7">
        <v>0</v>
      </c>
      <c r="CQ29" s="6"/>
      <c r="CR29" s="7">
        <v>0</v>
      </c>
      <c r="CS29" s="10"/>
      <c r="CT29" s="7">
        <v>0</v>
      </c>
      <c r="CU29" s="10"/>
      <c r="CV29" s="7">
        <v>0</v>
      </c>
      <c r="CW29" s="6"/>
      <c r="CX29" s="7">
        <v>0</v>
      </c>
      <c r="CY29" s="6"/>
      <c r="CZ29" s="7">
        <v>0</v>
      </c>
      <c r="DA29" s="8"/>
      <c r="DB29" s="7">
        <v>0</v>
      </c>
      <c r="DC29" s="10"/>
    </row>
    <row r="30" spans="2:107">
      <c r="B30" s="8" t="s">
        <v>18</v>
      </c>
      <c r="C30" s="10"/>
      <c r="D30" s="7"/>
      <c r="E30" s="10"/>
      <c r="F30" s="7"/>
      <c r="G30" s="10"/>
      <c r="H30" s="7"/>
      <c r="I30" s="10"/>
      <c r="J30" s="7">
        <v>0</v>
      </c>
      <c r="K30" s="10"/>
      <c r="L30" s="7">
        <v>0</v>
      </c>
      <c r="M30" s="10"/>
      <c r="N30" s="7">
        <v>0</v>
      </c>
      <c r="O30" s="10"/>
      <c r="P30" s="7">
        <v>0</v>
      </c>
      <c r="Q30" s="10"/>
      <c r="R30" s="7">
        <v>0</v>
      </c>
      <c r="S30" s="10"/>
      <c r="T30" s="7">
        <v>0</v>
      </c>
      <c r="U30" s="10"/>
      <c r="V30" s="7">
        <v>0</v>
      </c>
      <c r="W30" s="10"/>
      <c r="X30" s="7">
        <v>0</v>
      </c>
      <c r="Y30" s="10"/>
      <c r="Z30" s="7">
        <v>0</v>
      </c>
      <c r="AA30" s="10"/>
      <c r="AB30" s="7">
        <v>0</v>
      </c>
      <c r="AC30" s="10"/>
      <c r="AD30" s="7">
        <v>0</v>
      </c>
      <c r="AE30" s="10"/>
      <c r="AF30" s="7">
        <v>0</v>
      </c>
      <c r="AG30" s="10"/>
      <c r="AH30" s="7">
        <v>0</v>
      </c>
      <c r="AI30" s="10"/>
      <c r="AJ30" s="7">
        <v>0</v>
      </c>
      <c r="AK30" s="10"/>
      <c r="AL30" s="7">
        <v>0</v>
      </c>
      <c r="AM30" s="10"/>
      <c r="AN30" s="7">
        <v>0</v>
      </c>
      <c r="AO30" s="10"/>
      <c r="AP30" s="7">
        <v>0</v>
      </c>
      <c r="AQ30" s="10"/>
      <c r="AR30" s="7">
        <v>0</v>
      </c>
      <c r="AS30" s="10"/>
      <c r="AT30" s="7">
        <v>0</v>
      </c>
      <c r="AU30" s="10"/>
      <c r="AV30" s="7">
        <v>0</v>
      </c>
      <c r="AW30" s="10"/>
      <c r="AX30" s="7">
        <v>0</v>
      </c>
      <c r="AY30" s="10"/>
      <c r="AZ30" s="7">
        <v>0</v>
      </c>
      <c r="BA30" s="10"/>
      <c r="BB30" s="7">
        <v>0</v>
      </c>
      <c r="BC30" s="10"/>
      <c r="BD30" s="7">
        <v>0</v>
      </c>
      <c r="BE30" s="10"/>
      <c r="BF30" s="7">
        <v>0</v>
      </c>
      <c r="BG30" s="10"/>
      <c r="BH30" s="7">
        <v>0</v>
      </c>
      <c r="BI30" s="10"/>
      <c r="BJ30" s="7">
        <v>0</v>
      </c>
      <c r="BK30" s="10"/>
      <c r="BL30" s="7">
        <v>0</v>
      </c>
      <c r="BM30" s="10"/>
      <c r="BN30" s="7">
        <v>0</v>
      </c>
      <c r="BO30" s="10"/>
      <c r="BP30" s="7">
        <v>0</v>
      </c>
      <c r="BQ30" s="10"/>
      <c r="BR30" s="7">
        <v>0</v>
      </c>
      <c r="BS30" s="10"/>
      <c r="BT30" s="7">
        <v>0</v>
      </c>
      <c r="BU30" s="10"/>
      <c r="BV30" s="7">
        <v>0</v>
      </c>
      <c r="BW30" s="10"/>
      <c r="BX30" s="7">
        <v>0</v>
      </c>
      <c r="BY30" s="10"/>
      <c r="BZ30" s="7">
        <v>0</v>
      </c>
      <c r="CA30" s="10"/>
      <c r="CB30" s="7">
        <v>0</v>
      </c>
      <c r="CC30" s="10"/>
      <c r="CD30" s="7">
        <v>0</v>
      </c>
      <c r="CE30" s="10"/>
      <c r="CF30" s="7">
        <v>0</v>
      </c>
      <c r="CG30" s="10"/>
      <c r="CH30" s="7">
        <v>0</v>
      </c>
      <c r="CI30" s="10"/>
      <c r="CJ30" s="7">
        <v>0</v>
      </c>
      <c r="CK30" s="10"/>
      <c r="CL30" s="7">
        <v>0</v>
      </c>
      <c r="CM30" s="10"/>
      <c r="CN30" s="7">
        <v>0</v>
      </c>
      <c r="CO30" s="10"/>
      <c r="CP30" s="7">
        <v>0</v>
      </c>
      <c r="CQ30" s="8"/>
      <c r="CR30" s="7">
        <v>0</v>
      </c>
      <c r="CS30" s="10"/>
      <c r="CT30" s="7">
        <v>0</v>
      </c>
      <c r="CU30" s="10"/>
      <c r="CV30" s="7">
        <v>0</v>
      </c>
      <c r="CW30" s="8"/>
      <c r="CX30" s="7">
        <v>500891.78</v>
      </c>
      <c r="CY30" s="8"/>
      <c r="CZ30" s="7">
        <v>511958.91</v>
      </c>
      <c r="DA30" s="8"/>
      <c r="DB30" s="7">
        <v>0</v>
      </c>
      <c r="DC30" s="10"/>
    </row>
    <row r="31" spans="2:107">
      <c r="B31" s="8" t="s">
        <v>290</v>
      </c>
      <c r="C31" s="10"/>
      <c r="D31" s="7"/>
      <c r="E31" s="10"/>
      <c r="F31" s="7"/>
      <c r="G31" s="10"/>
      <c r="H31" s="7"/>
      <c r="I31" s="10"/>
      <c r="J31" s="7">
        <v>0</v>
      </c>
      <c r="K31" s="10"/>
      <c r="L31" s="7">
        <v>0</v>
      </c>
      <c r="M31" s="10"/>
      <c r="N31" s="7">
        <v>0</v>
      </c>
      <c r="O31" s="10"/>
      <c r="P31" s="7">
        <v>0</v>
      </c>
      <c r="Q31" s="10"/>
      <c r="R31" s="7">
        <v>0</v>
      </c>
      <c r="S31" s="10"/>
      <c r="T31" s="7">
        <v>0</v>
      </c>
      <c r="U31" s="10"/>
      <c r="V31" s="7">
        <v>0</v>
      </c>
      <c r="W31" s="10"/>
      <c r="X31" s="7">
        <v>0</v>
      </c>
      <c r="Y31" s="10"/>
      <c r="Z31" s="7">
        <v>0</v>
      </c>
      <c r="AA31" s="10"/>
      <c r="AB31" s="7">
        <v>0</v>
      </c>
      <c r="AC31" s="10"/>
      <c r="AD31" s="7">
        <v>3539037.52</v>
      </c>
      <c r="AE31" s="10"/>
      <c r="AF31" s="7">
        <v>3782730.58</v>
      </c>
      <c r="AG31" s="10"/>
      <c r="AH31" s="7">
        <v>3963668.08</v>
      </c>
      <c r="AI31" s="10"/>
      <c r="AJ31" s="7">
        <v>1015905</v>
      </c>
      <c r="AK31" s="10"/>
      <c r="AL31" s="7">
        <v>1068529.3799999999</v>
      </c>
      <c r="AM31" s="10"/>
      <c r="AN31" s="7">
        <v>999874</v>
      </c>
      <c r="AO31" s="10"/>
      <c r="AP31" s="7">
        <v>909074.8</v>
      </c>
      <c r="AQ31" s="10"/>
      <c r="AR31" s="7">
        <v>984095</v>
      </c>
      <c r="AS31" s="10"/>
      <c r="AT31" s="7"/>
      <c r="AU31" s="10"/>
      <c r="AV31" s="7"/>
      <c r="AW31" s="10"/>
      <c r="AX31" s="7"/>
      <c r="AY31" s="10"/>
      <c r="AZ31" s="7"/>
      <c r="BA31" s="10"/>
      <c r="BB31" s="7"/>
      <c r="BC31" s="10"/>
      <c r="BD31" s="7"/>
      <c r="BE31" s="10"/>
      <c r="BF31" s="7"/>
      <c r="BG31" s="10"/>
      <c r="BH31" s="7"/>
      <c r="BI31" s="10"/>
      <c r="BJ31" s="7"/>
      <c r="BK31" s="10"/>
      <c r="BL31" s="7"/>
      <c r="BM31" s="10"/>
      <c r="BN31" s="7"/>
      <c r="BO31" s="10"/>
      <c r="BP31" s="7"/>
      <c r="BQ31" s="10"/>
      <c r="BR31" s="7"/>
      <c r="BS31" s="10"/>
      <c r="BT31" s="7"/>
      <c r="BU31" s="10"/>
      <c r="BV31" s="7"/>
      <c r="BW31" s="10"/>
      <c r="BX31" s="7"/>
      <c r="BY31" s="10"/>
      <c r="BZ31" s="7"/>
      <c r="CA31" s="10"/>
      <c r="CB31" s="7"/>
      <c r="CC31" s="10"/>
      <c r="CD31" s="7"/>
      <c r="CE31" s="10"/>
      <c r="CF31" s="7"/>
      <c r="CG31" s="10"/>
      <c r="CH31" s="7"/>
      <c r="CI31" s="10"/>
      <c r="CJ31" s="7"/>
      <c r="CK31" s="10"/>
      <c r="CL31" s="7"/>
      <c r="CM31" s="10"/>
      <c r="CN31" s="7"/>
      <c r="CO31" s="10"/>
      <c r="CP31" s="7"/>
      <c r="CQ31" s="8"/>
      <c r="CR31" s="7"/>
      <c r="CS31" s="10"/>
      <c r="CT31" s="7"/>
      <c r="CU31" s="10"/>
      <c r="CV31" s="7"/>
      <c r="CW31" s="8"/>
      <c r="CX31" s="7"/>
      <c r="CY31" s="8"/>
      <c r="CZ31" s="7"/>
      <c r="DA31" s="8"/>
      <c r="DB31" s="7"/>
      <c r="DC31" s="10"/>
    </row>
    <row r="32" spans="2:107">
      <c r="B32" s="8" t="s">
        <v>299</v>
      </c>
      <c r="C32" s="10"/>
      <c r="D32" s="7"/>
      <c r="E32" s="10"/>
      <c r="F32" s="7"/>
      <c r="G32" s="10"/>
      <c r="H32" s="7"/>
      <c r="I32" s="10"/>
      <c r="J32" s="7">
        <v>0</v>
      </c>
      <c r="K32" s="10"/>
      <c r="L32" s="7">
        <v>0</v>
      </c>
      <c r="M32" s="10"/>
      <c r="N32" s="7">
        <v>0</v>
      </c>
      <c r="O32" s="10"/>
      <c r="P32" s="7">
        <v>0</v>
      </c>
      <c r="Q32" s="10"/>
      <c r="R32" s="7">
        <v>0</v>
      </c>
      <c r="S32" s="10"/>
      <c r="T32" s="7">
        <v>802485.99</v>
      </c>
      <c r="U32" s="10"/>
      <c r="V32" s="7">
        <v>0</v>
      </c>
      <c r="W32" s="10"/>
      <c r="X32" s="7">
        <v>0</v>
      </c>
      <c r="Y32" s="10"/>
      <c r="Z32" s="7">
        <v>0</v>
      </c>
      <c r="AA32" s="10"/>
      <c r="AB32" s="7">
        <v>1178308.7</v>
      </c>
      <c r="AC32" s="10"/>
      <c r="AD32" s="7">
        <v>0</v>
      </c>
      <c r="AE32" s="10"/>
      <c r="AF32" s="7">
        <v>0</v>
      </c>
      <c r="AG32" s="10"/>
      <c r="AH32" s="7">
        <v>25529.62</v>
      </c>
      <c r="AI32" s="10"/>
      <c r="AJ32" s="7"/>
      <c r="AK32" s="10"/>
      <c r="AL32" s="7"/>
      <c r="AM32" s="10"/>
      <c r="AN32" s="7"/>
      <c r="AO32" s="10"/>
      <c r="AP32" s="7"/>
      <c r="AQ32" s="10"/>
      <c r="AR32" s="7"/>
      <c r="AS32" s="10"/>
      <c r="AT32" s="7"/>
      <c r="AU32" s="10"/>
      <c r="AV32" s="7"/>
      <c r="AW32" s="10"/>
      <c r="AX32" s="7"/>
      <c r="AY32" s="10"/>
      <c r="AZ32" s="7"/>
      <c r="BA32" s="10"/>
      <c r="BB32" s="7"/>
      <c r="BC32" s="10"/>
      <c r="BD32" s="7"/>
      <c r="BE32" s="10"/>
      <c r="BF32" s="7"/>
      <c r="BG32" s="10"/>
      <c r="BH32" s="7"/>
      <c r="BI32" s="10"/>
      <c r="BJ32" s="7"/>
      <c r="BK32" s="10"/>
      <c r="BL32" s="7"/>
      <c r="BM32" s="10"/>
      <c r="BN32" s="7"/>
      <c r="BO32" s="10"/>
      <c r="BP32" s="7"/>
      <c r="BQ32" s="10"/>
      <c r="BR32" s="7"/>
      <c r="BS32" s="10"/>
      <c r="BT32" s="7"/>
      <c r="BU32" s="10"/>
      <c r="BV32" s="7"/>
      <c r="BW32" s="10"/>
      <c r="BX32" s="7"/>
      <c r="BY32" s="10"/>
      <c r="BZ32" s="7"/>
      <c r="CA32" s="10"/>
      <c r="CB32" s="7"/>
      <c r="CC32" s="10"/>
      <c r="CD32" s="7"/>
      <c r="CE32" s="10"/>
      <c r="CF32" s="7"/>
      <c r="CG32" s="10"/>
      <c r="CH32" s="7"/>
      <c r="CI32" s="10"/>
      <c r="CJ32" s="7"/>
      <c r="CK32" s="10"/>
      <c r="CL32" s="7"/>
      <c r="CM32" s="10"/>
      <c r="CN32" s="7"/>
      <c r="CO32" s="10"/>
      <c r="CP32" s="7"/>
      <c r="CQ32" s="8"/>
      <c r="CR32" s="7"/>
      <c r="CS32" s="10"/>
      <c r="CT32" s="7"/>
      <c r="CU32" s="10"/>
      <c r="CV32" s="7"/>
      <c r="CW32" s="8"/>
      <c r="CX32" s="7"/>
      <c r="CY32" s="8"/>
      <c r="CZ32" s="7"/>
      <c r="DA32" s="8"/>
      <c r="DB32" s="7"/>
      <c r="DC32" s="10"/>
    </row>
    <row r="33" spans="2:107" s="13" customFormat="1">
      <c r="B33" s="8" t="s">
        <v>24</v>
      </c>
      <c r="C33" s="8"/>
      <c r="D33" s="7"/>
      <c r="E33" s="8"/>
      <c r="F33" s="7"/>
      <c r="G33" s="8"/>
      <c r="H33" s="7"/>
      <c r="I33" s="8"/>
      <c r="J33" s="7">
        <v>0</v>
      </c>
      <c r="K33" s="8"/>
      <c r="L33" s="7">
        <v>0</v>
      </c>
      <c r="M33" s="8"/>
      <c r="N33" s="7">
        <v>441516</v>
      </c>
      <c r="O33" s="8"/>
      <c r="P33" s="7">
        <v>1946519</v>
      </c>
      <c r="Q33" s="8"/>
      <c r="R33" s="7">
        <v>0</v>
      </c>
      <c r="S33" s="8"/>
      <c r="T33" s="7">
        <v>0</v>
      </c>
      <c r="U33" s="8"/>
      <c r="V33" s="7">
        <v>0</v>
      </c>
      <c r="W33" s="8"/>
      <c r="X33" s="7">
        <v>0</v>
      </c>
      <c r="Y33" s="8"/>
      <c r="Z33" s="7">
        <v>0</v>
      </c>
      <c r="AA33" s="8"/>
      <c r="AB33" s="7">
        <v>230931</v>
      </c>
      <c r="AC33" s="8"/>
      <c r="AD33" s="7">
        <v>185670</v>
      </c>
      <c r="AE33" s="8"/>
      <c r="AF33" s="7">
        <v>0</v>
      </c>
      <c r="AG33" s="8"/>
      <c r="AH33" s="7">
        <v>23351</v>
      </c>
      <c r="AI33" s="8"/>
      <c r="AJ33" s="7">
        <v>0</v>
      </c>
      <c r="AK33" s="8"/>
      <c r="AL33" s="7">
        <v>117707</v>
      </c>
      <c r="AM33" s="8"/>
      <c r="AN33" s="7">
        <v>117707</v>
      </c>
      <c r="AO33" s="8"/>
      <c r="AP33" s="7">
        <v>0</v>
      </c>
      <c r="AQ33" s="8"/>
      <c r="AR33" s="7">
        <v>0</v>
      </c>
      <c r="AS33" s="8"/>
      <c r="AT33" s="7">
        <v>0</v>
      </c>
      <c r="AU33" s="8"/>
      <c r="AV33" s="7">
        <v>0</v>
      </c>
      <c r="AW33" s="8"/>
      <c r="AX33" s="7">
        <v>0</v>
      </c>
      <c r="AY33" s="8"/>
      <c r="AZ33" s="7">
        <v>0</v>
      </c>
      <c r="BA33" s="8"/>
      <c r="BB33" s="7">
        <v>0</v>
      </c>
      <c r="BC33" s="8"/>
      <c r="BD33" s="7">
        <v>0</v>
      </c>
      <c r="BE33" s="8"/>
      <c r="BF33" s="7">
        <v>0</v>
      </c>
      <c r="BG33" s="8"/>
      <c r="BH33" s="7">
        <v>0</v>
      </c>
      <c r="BI33" s="8"/>
      <c r="BJ33" s="7">
        <v>0</v>
      </c>
      <c r="BK33" s="8"/>
      <c r="BL33" s="7">
        <v>0</v>
      </c>
      <c r="BM33" s="8"/>
      <c r="BN33" s="7">
        <v>0</v>
      </c>
      <c r="BO33" s="8"/>
      <c r="BP33" s="7">
        <v>0</v>
      </c>
      <c r="BQ33" s="8"/>
      <c r="BR33" s="7">
        <v>0</v>
      </c>
      <c r="BS33" s="8"/>
      <c r="BT33" s="7">
        <v>168492</v>
      </c>
      <c r="BU33" s="8"/>
      <c r="BV33" s="7">
        <v>154451</v>
      </c>
      <c r="BW33" s="8"/>
      <c r="BX33" s="7">
        <v>112328</v>
      </c>
      <c r="BY33" s="8"/>
      <c r="BZ33" s="7">
        <v>70205</v>
      </c>
      <c r="CA33" s="8"/>
      <c r="CB33" s="7">
        <v>28082</v>
      </c>
      <c r="CC33" s="8"/>
      <c r="CD33" s="7">
        <v>0</v>
      </c>
      <c r="CE33" s="8"/>
      <c r="CF33" s="7">
        <v>712972</v>
      </c>
      <c r="CG33" s="8"/>
      <c r="CH33" s="7">
        <v>474679</v>
      </c>
      <c r="CI33" s="8"/>
      <c r="CJ33" s="7">
        <v>357069.84</v>
      </c>
      <c r="CK33" s="8"/>
      <c r="CL33" s="7">
        <v>174456.84</v>
      </c>
      <c r="CM33" s="8"/>
      <c r="CN33" s="7">
        <v>143396</v>
      </c>
      <c r="CO33" s="8"/>
      <c r="CP33" s="7">
        <v>143395</v>
      </c>
      <c r="CQ33" s="12"/>
      <c r="CR33" s="7">
        <v>57358</v>
      </c>
      <c r="CS33" s="8"/>
      <c r="CT33" s="7">
        <v>0</v>
      </c>
      <c r="CU33" s="8"/>
      <c r="CV33" s="7">
        <v>95276</v>
      </c>
      <c r="CW33" s="12"/>
      <c r="CX33" s="7">
        <v>59440.06</v>
      </c>
      <c r="CY33" s="12"/>
      <c r="CZ33" s="7">
        <v>0</v>
      </c>
      <c r="DA33" s="8"/>
      <c r="DB33" s="7">
        <v>40893</v>
      </c>
      <c r="DC33" s="8"/>
    </row>
    <row r="34" spans="2:107">
      <c r="B34" s="8" t="s">
        <v>20</v>
      </c>
      <c r="C34" s="8"/>
      <c r="D34" s="7"/>
      <c r="E34" s="8"/>
      <c r="F34" s="7"/>
      <c r="G34" s="8"/>
      <c r="H34" s="7"/>
      <c r="I34" s="8"/>
      <c r="J34" s="7">
        <v>1099133.3400000001</v>
      </c>
      <c r="K34" s="8"/>
      <c r="L34" s="7">
        <v>945700.02</v>
      </c>
      <c r="M34" s="8"/>
      <c r="N34" s="7">
        <v>1101233.08</v>
      </c>
      <c r="O34" s="8"/>
      <c r="P34" s="7">
        <v>698036.43</v>
      </c>
      <c r="Q34" s="8"/>
      <c r="R34" s="7">
        <v>1035196.95</v>
      </c>
      <c r="S34" s="8"/>
      <c r="T34" s="7">
        <v>522683.94</v>
      </c>
      <c r="U34" s="8"/>
      <c r="V34" s="7">
        <v>799620.37</v>
      </c>
      <c r="W34" s="8"/>
      <c r="X34" s="7">
        <v>1203581.26</v>
      </c>
      <c r="Y34" s="8"/>
      <c r="Z34" s="7">
        <v>964111.67999999993</v>
      </c>
      <c r="AA34" s="8"/>
      <c r="AB34" s="7">
        <v>386209.53</v>
      </c>
      <c r="AC34" s="8"/>
      <c r="AD34" s="7">
        <v>513285.14</v>
      </c>
      <c r="AE34" s="8"/>
      <c r="AF34" s="7">
        <v>540383.23</v>
      </c>
      <c r="AG34" s="8"/>
      <c r="AH34" s="7">
        <v>393632.68</v>
      </c>
      <c r="AI34" s="8"/>
      <c r="AJ34" s="7">
        <v>630463.2300000001</v>
      </c>
      <c r="AK34" s="8"/>
      <c r="AL34" s="7">
        <v>304797.08</v>
      </c>
      <c r="AM34" s="8"/>
      <c r="AN34" s="7">
        <v>319392.73</v>
      </c>
      <c r="AO34" s="8"/>
      <c r="AP34" s="7">
        <v>376684.65</v>
      </c>
      <c r="AQ34" s="8"/>
      <c r="AR34" s="7">
        <v>616798.80000000005</v>
      </c>
      <c r="AS34" s="8"/>
      <c r="AT34" s="7">
        <v>383525.04</v>
      </c>
      <c r="AU34" s="8"/>
      <c r="AV34" s="7">
        <v>328056.71000000002</v>
      </c>
      <c r="AW34" s="8"/>
      <c r="AX34" s="7">
        <v>266635.78000000003</v>
      </c>
      <c r="AY34" s="8"/>
      <c r="AZ34" s="7">
        <v>315030.28000000003</v>
      </c>
      <c r="BA34" s="8"/>
      <c r="BB34" s="7">
        <v>238412.77</v>
      </c>
      <c r="BC34" s="8"/>
      <c r="BD34" s="7">
        <v>260867.22</v>
      </c>
      <c r="BE34" s="8"/>
      <c r="BF34" s="7">
        <v>243166.27</v>
      </c>
      <c r="BG34" s="8"/>
      <c r="BH34" s="7">
        <v>392819.31</v>
      </c>
      <c r="BI34" s="8"/>
      <c r="BJ34" s="7">
        <v>169966</v>
      </c>
      <c r="BK34" s="8"/>
      <c r="BL34" s="7">
        <v>147555.5</v>
      </c>
      <c r="BM34" s="8"/>
      <c r="BN34" s="7">
        <v>170297.58</v>
      </c>
      <c r="BO34" s="8"/>
      <c r="BP34" s="7">
        <v>259185.29</v>
      </c>
      <c r="BQ34" s="8"/>
      <c r="BR34" s="7">
        <v>286571.32</v>
      </c>
      <c r="BS34" s="8"/>
      <c r="BT34" s="7">
        <v>265423.34000000003</v>
      </c>
      <c r="BU34" s="8"/>
      <c r="BV34" s="7">
        <v>202186.04</v>
      </c>
      <c r="BW34" s="8"/>
      <c r="BX34" s="7">
        <v>211109.89</v>
      </c>
      <c r="BY34" s="8"/>
      <c r="BZ34" s="7">
        <v>286398.75</v>
      </c>
      <c r="CA34" s="8"/>
      <c r="CB34" s="7">
        <v>238096.48</v>
      </c>
      <c r="CC34" s="8"/>
      <c r="CD34" s="7">
        <v>192562.1</v>
      </c>
      <c r="CE34" s="8"/>
      <c r="CF34" s="7">
        <v>229375.97</v>
      </c>
      <c r="CG34" s="8"/>
      <c r="CH34" s="7">
        <v>258120.03</v>
      </c>
      <c r="CI34" s="8"/>
      <c r="CJ34" s="7">
        <v>230746.15</v>
      </c>
      <c r="CK34" s="8"/>
      <c r="CL34" s="7">
        <v>258738.18</v>
      </c>
      <c r="CM34" s="8"/>
      <c r="CN34" s="7">
        <v>348082.75999999978</v>
      </c>
      <c r="CO34" s="8"/>
      <c r="CP34" s="7">
        <v>524845.48000000045</v>
      </c>
      <c r="CR34" s="7">
        <v>705446.26000000024</v>
      </c>
      <c r="CS34" s="8"/>
      <c r="CT34" s="7">
        <v>229893.32000000021</v>
      </c>
      <c r="CU34" s="8"/>
      <c r="CV34" s="7">
        <v>148135.69999999972</v>
      </c>
      <c r="CX34" s="7">
        <v>187122.31000000003</v>
      </c>
      <c r="CZ34" s="7">
        <v>371922.76999999961</v>
      </c>
      <c r="DA34" s="8"/>
      <c r="DB34" s="7">
        <v>120741.58000000022</v>
      </c>
      <c r="DC34" s="8"/>
    </row>
    <row r="35" spans="2:107">
      <c r="B35" s="8" t="s">
        <v>25</v>
      </c>
      <c r="C35" s="8"/>
      <c r="D35" s="7"/>
      <c r="E35" s="8"/>
      <c r="F35" s="7"/>
      <c r="G35" s="8"/>
      <c r="H35" s="7"/>
      <c r="I35" s="8"/>
      <c r="J35" s="7">
        <v>162979675.37</v>
      </c>
      <c r="K35" s="8"/>
      <c r="L35" s="7">
        <v>65502894.639999993</v>
      </c>
      <c r="M35" s="8"/>
      <c r="N35" s="7">
        <v>56617530.140000001</v>
      </c>
      <c r="O35" s="8"/>
      <c r="P35" s="7">
        <v>54260387.969999999</v>
      </c>
      <c r="Q35" s="8"/>
      <c r="R35" s="7">
        <v>118325881.59999999</v>
      </c>
      <c r="S35" s="8"/>
      <c r="T35" s="7">
        <v>39769807.279999994</v>
      </c>
      <c r="U35" s="8"/>
      <c r="V35" s="7">
        <v>7526213.8899999997</v>
      </c>
      <c r="W35" s="8"/>
      <c r="X35" s="7">
        <v>12636918.48</v>
      </c>
      <c r="Y35" s="8"/>
      <c r="Z35" s="7">
        <v>21281142.109999999</v>
      </c>
      <c r="AA35" s="8"/>
      <c r="AB35" s="7">
        <v>7673872.4300000006</v>
      </c>
      <c r="AC35" s="8"/>
      <c r="AD35" s="7">
        <v>8972876.2400000002</v>
      </c>
      <c r="AE35" s="8"/>
      <c r="AF35" s="7">
        <v>7286091.1300000008</v>
      </c>
      <c r="AG35" s="8"/>
      <c r="AH35" s="7">
        <v>30355823.84</v>
      </c>
      <c r="AI35" s="8"/>
      <c r="AJ35" s="7">
        <v>16928851.170000002</v>
      </c>
      <c r="AK35" s="8"/>
      <c r="AL35" s="7">
        <v>12155256.51</v>
      </c>
      <c r="AM35" s="8"/>
      <c r="AN35" s="7">
        <v>13052525.869999999</v>
      </c>
      <c r="AO35" s="8"/>
      <c r="AP35" s="7">
        <v>20521793.329999998</v>
      </c>
      <c r="AQ35" s="8"/>
      <c r="AR35" s="7">
        <v>9487992.8200000003</v>
      </c>
      <c r="AS35" s="8"/>
      <c r="AT35" s="7">
        <v>5846937.7300000004</v>
      </c>
      <c r="AU35" s="8"/>
      <c r="AV35" s="7">
        <v>3929845.89</v>
      </c>
      <c r="AW35" s="8"/>
      <c r="AX35" s="7">
        <v>16381241.4</v>
      </c>
      <c r="AY35" s="8"/>
      <c r="AZ35" s="7">
        <v>7069701.5499999998</v>
      </c>
      <c r="BA35" s="8"/>
      <c r="BB35" s="7">
        <v>3511204.83</v>
      </c>
      <c r="BC35" s="8"/>
      <c r="BD35" s="7">
        <v>14083748.57</v>
      </c>
      <c r="BE35" s="8"/>
      <c r="BF35" s="7">
        <v>29201266.629999999</v>
      </c>
      <c r="BG35" s="8"/>
      <c r="BH35" s="7">
        <v>4302201.4700000007</v>
      </c>
      <c r="BI35" s="8"/>
      <c r="BJ35" s="7">
        <v>1817738.25</v>
      </c>
      <c r="BK35" s="8"/>
      <c r="BL35" s="7">
        <v>1564145.91</v>
      </c>
      <c r="BM35" s="8"/>
      <c r="BN35" s="7">
        <v>18858753.449999999</v>
      </c>
      <c r="BO35" s="8"/>
      <c r="BP35" s="7">
        <v>5888640.3300000001</v>
      </c>
      <c r="BQ35" s="8"/>
      <c r="BR35" s="7">
        <v>2857137.93</v>
      </c>
      <c r="BS35" s="8"/>
      <c r="BT35" s="7">
        <v>2577040.75</v>
      </c>
      <c r="BU35" s="8"/>
      <c r="BV35" s="7">
        <v>7665015.6699999999</v>
      </c>
      <c r="BW35" s="8"/>
      <c r="BX35" s="7">
        <v>5069439.55</v>
      </c>
      <c r="BY35" s="8"/>
      <c r="BZ35" s="7">
        <v>10384030.51</v>
      </c>
      <c r="CA35" s="8"/>
      <c r="CB35" s="7">
        <v>11104781.01</v>
      </c>
      <c r="CC35" s="8"/>
      <c r="CD35" s="7">
        <v>19434534.620000001</v>
      </c>
      <c r="CE35" s="8"/>
      <c r="CF35" s="7">
        <v>13531883.92</v>
      </c>
      <c r="CG35" s="8"/>
      <c r="CH35" s="7">
        <v>3989975.72</v>
      </c>
      <c r="CI35" s="8"/>
      <c r="CJ35" s="7">
        <v>12643199.380000001</v>
      </c>
      <c r="CK35" s="8"/>
      <c r="CL35" s="7">
        <v>29992492.350000001</v>
      </c>
      <c r="CM35" s="8"/>
      <c r="CN35" s="7">
        <v>11069143.59</v>
      </c>
      <c r="CO35" s="8"/>
      <c r="CP35" s="7">
        <v>17010895.120000001</v>
      </c>
      <c r="CR35" s="7">
        <v>18132287.949999999</v>
      </c>
      <c r="CS35" s="8"/>
      <c r="CT35" s="7">
        <v>32443453.379999999</v>
      </c>
      <c r="CU35" s="8"/>
      <c r="CV35" s="7">
        <v>404955.87</v>
      </c>
      <c r="CX35" s="7">
        <v>381245.04</v>
      </c>
      <c r="CZ35" s="7">
        <v>12205809.65</v>
      </c>
      <c r="DA35" s="8"/>
      <c r="DB35" s="7">
        <v>16661794.34</v>
      </c>
      <c r="DC35" s="8"/>
    </row>
    <row r="36" spans="2:107">
      <c r="B36" s="9"/>
      <c r="C36" s="9"/>
      <c r="D36" s="7"/>
      <c r="E36" s="9"/>
      <c r="F36" s="7"/>
      <c r="G36" s="9"/>
      <c r="H36" s="7"/>
      <c r="I36" s="9"/>
      <c r="J36" s="7"/>
      <c r="K36" s="9"/>
      <c r="L36" s="7"/>
      <c r="M36" s="9"/>
      <c r="N36" s="7"/>
      <c r="O36" s="9"/>
      <c r="P36" s="7"/>
      <c r="Q36" s="9"/>
      <c r="R36" s="7"/>
      <c r="S36" s="9"/>
      <c r="T36" s="7"/>
      <c r="U36" s="9"/>
      <c r="V36" s="7"/>
      <c r="W36" s="9"/>
      <c r="X36" s="7"/>
      <c r="Y36" s="9"/>
      <c r="Z36" s="7"/>
      <c r="AA36" s="9"/>
      <c r="AB36" s="7"/>
      <c r="AC36" s="9"/>
      <c r="AD36" s="7">
        <v>0</v>
      </c>
      <c r="AE36" s="9"/>
      <c r="AF36" s="7">
        <v>0</v>
      </c>
      <c r="AG36" s="9"/>
      <c r="AH36" s="7">
        <v>0</v>
      </c>
      <c r="AI36" s="9"/>
      <c r="AJ36" s="7"/>
      <c r="AK36" s="9"/>
      <c r="AL36" s="7"/>
      <c r="AM36" s="9"/>
      <c r="AN36" s="7"/>
      <c r="AO36" s="9"/>
      <c r="AP36" s="7"/>
      <c r="AQ36" s="9"/>
      <c r="AR36" s="7"/>
      <c r="AS36" s="9"/>
      <c r="AT36" s="7"/>
      <c r="AU36" s="9"/>
      <c r="AV36" s="7"/>
      <c r="AW36" s="9"/>
      <c r="AX36" s="7"/>
      <c r="AY36" s="9"/>
      <c r="AZ36" s="7"/>
      <c r="BA36" s="9"/>
      <c r="BB36" s="7"/>
      <c r="BC36" s="9"/>
      <c r="BD36" s="7"/>
      <c r="BE36" s="9"/>
      <c r="BF36" s="7"/>
      <c r="BG36" s="9"/>
      <c r="BH36" s="7">
        <v>0</v>
      </c>
      <c r="BI36" s="9"/>
      <c r="BJ36" s="7"/>
      <c r="BK36" s="9"/>
      <c r="BL36" s="7"/>
      <c r="BM36" s="9"/>
      <c r="BN36" s="7">
        <v>0</v>
      </c>
      <c r="BO36" s="9"/>
      <c r="BP36" s="7">
        <v>0</v>
      </c>
      <c r="BQ36" s="9"/>
      <c r="BR36" s="7">
        <v>0</v>
      </c>
      <c r="BS36" s="9"/>
      <c r="BT36" s="7"/>
      <c r="BU36" s="9"/>
      <c r="BV36" s="7"/>
      <c r="BW36" s="9"/>
      <c r="BX36" s="7"/>
      <c r="BY36" s="9"/>
      <c r="BZ36" s="7"/>
      <c r="CA36" s="9"/>
      <c r="CB36" s="7"/>
      <c r="CC36" s="9"/>
      <c r="CD36" s="7"/>
      <c r="CE36" s="9"/>
      <c r="CF36" s="7"/>
      <c r="CG36" s="9"/>
      <c r="CH36" s="7"/>
      <c r="CI36" s="9"/>
      <c r="CJ36" s="7"/>
      <c r="CK36" s="9"/>
      <c r="CL36" s="7"/>
      <c r="CM36" s="9"/>
      <c r="CN36" s="7"/>
      <c r="CO36" s="9"/>
      <c r="CP36" s="7"/>
      <c r="CQ36" s="6"/>
      <c r="CR36" s="7"/>
      <c r="CS36" s="9"/>
      <c r="CT36" s="7"/>
      <c r="CU36" s="9"/>
      <c r="CV36" s="7"/>
      <c r="CW36" s="6"/>
      <c r="CX36" s="7"/>
      <c r="CY36" s="6"/>
      <c r="CZ36" s="7"/>
      <c r="DA36" s="8"/>
      <c r="DB36" s="7"/>
      <c r="DC36" s="9"/>
    </row>
    <row r="37" spans="2:107">
      <c r="B37" s="9" t="s">
        <v>26</v>
      </c>
      <c r="C37" s="9"/>
      <c r="D37" s="7"/>
      <c r="E37" s="9"/>
      <c r="F37" s="7"/>
      <c r="G37" s="9"/>
      <c r="H37" s="7"/>
      <c r="I37" s="9"/>
      <c r="J37" s="7">
        <v>0</v>
      </c>
      <c r="K37" s="9"/>
      <c r="L37" s="7">
        <v>0</v>
      </c>
      <c r="M37" s="9"/>
      <c r="N37" s="7">
        <v>0</v>
      </c>
      <c r="O37" s="9"/>
      <c r="P37" s="7">
        <v>0</v>
      </c>
      <c r="Q37" s="9"/>
      <c r="R37" s="7">
        <v>0</v>
      </c>
      <c r="S37" s="9"/>
      <c r="T37" s="7">
        <v>0</v>
      </c>
      <c r="U37" s="9"/>
      <c r="V37" s="7">
        <v>0</v>
      </c>
      <c r="W37" s="9"/>
      <c r="X37" s="7"/>
      <c r="Y37" s="9"/>
      <c r="Z37" s="7">
        <v>0</v>
      </c>
      <c r="AA37" s="9"/>
      <c r="AB37" s="7">
        <v>0</v>
      </c>
      <c r="AC37" s="9"/>
      <c r="AD37" s="7">
        <v>0</v>
      </c>
      <c r="AE37" s="9"/>
      <c r="AF37" s="7">
        <v>0</v>
      </c>
      <c r="AG37" s="9"/>
      <c r="AH37" s="7">
        <v>0</v>
      </c>
      <c r="AI37" s="9"/>
      <c r="AJ37" s="7">
        <v>0</v>
      </c>
      <c r="AK37" s="9"/>
      <c r="AL37" s="7">
        <v>0</v>
      </c>
      <c r="AM37" s="9"/>
      <c r="AN37" s="7">
        <v>0</v>
      </c>
      <c r="AO37" s="9"/>
      <c r="AP37" s="7">
        <v>0</v>
      </c>
      <c r="AQ37" s="9"/>
      <c r="AR37" s="7">
        <v>0</v>
      </c>
      <c r="AS37" s="9"/>
      <c r="AT37" s="7">
        <v>0</v>
      </c>
      <c r="AU37" s="9"/>
      <c r="AV37" s="7">
        <v>0</v>
      </c>
      <c r="AW37" s="9"/>
      <c r="AX37" s="7">
        <v>0</v>
      </c>
      <c r="AY37" s="9"/>
      <c r="AZ37" s="7">
        <v>0</v>
      </c>
      <c r="BA37" s="9"/>
      <c r="BB37" s="7">
        <v>0</v>
      </c>
      <c r="BC37" s="9"/>
      <c r="BD37" s="7">
        <v>0</v>
      </c>
      <c r="BE37" s="9"/>
      <c r="BF37" s="7">
        <v>0</v>
      </c>
      <c r="BG37" s="9"/>
      <c r="BH37" s="7">
        <v>0</v>
      </c>
      <c r="BI37" s="9"/>
      <c r="BJ37" s="7">
        <v>0</v>
      </c>
      <c r="BK37" s="9"/>
      <c r="BL37" s="7">
        <v>0</v>
      </c>
      <c r="BM37" s="9"/>
      <c r="BN37" s="7">
        <v>0</v>
      </c>
      <c r="BO37" s="9"/>
      <c r="BP37" s="7">
        <v>0</v>
      </c>
      <c r="BQ37" s="9"/>
      <c r="BR37" s="7">
        <v>0</v>
      </c>
      <c r="BS37" s="9"/>
      <c r="BT37" s="7">
        <v>0</v>
      </c>
      <c r="BU37" s="9"/>
      <c r="BV37" s="7">
        <v>0</v>
      </c>
      <c r="BW37" s="9"/>
      <c r="BX37" s="7">
        <v>0</v>
      </c>
      <c r="BY37" s="9"/>
      <c r="BZ37" s="7">
        <v>0</v>
      </c>
      <c r="CA37" s="9"/>
      <c r="CB37" s="7">
        <v>0</v>
      </c>
      <c r="CC37" s="9"/>
      <c r="CD37" s="7">
        <v>0</v>
      </c>
      <c r="CE37" s="9"/>
      <c r="CF37" s="7">
        <v>0</v>
      </c>
      <c r="CG37" s="9"/>
      <c r="CH37" s="7">
        <v>0</v>
      </c>
      <c r="CI37" s="9"/>
      <c r="CJ37" s="7">
        <v>0</v>
      </c>
      <c r="CK37" s="9"/>
      <c r="CL37" s="7">
        <v>0</v>
      </c>
      <c r="CM37" s="9"/>
      <c r="CN37" s="7">
        <v>0</v>
      </c>
      <c r="CO37" s="9"/>
      <c r="CP37" s="7">
        <v>0</v>
      </c>
      <c r="CQ37" s="8"/>
      <c r="CR37" s="7">
        <v>0</v>
      </c>
      <c r="CS37" s="9"/>
      <c r="CT37" s="7">
        <v>0</v>
      </c>
      <c r="CU37" s="9"/>
      <c r="CV37" s="7">
        <v>0</v>
      </c>
      <c r="CW37" s="8"/>
      <c r="CX37" s="7">
        <v>0</v>
      </c>
      <c r="CY37" s="8"/>
      <c r="CZ37" s="7">
        <v>0</v>
      </c>
      <c r="DA37" s="8"/>
      <c r="DB37" s="7">
        <v>0</v>
      </c>
      <c r="DC37" s="9"/>
    </row>
    <row r="38" spans="2:107">
      <c r="B38" s="9"/>
      <c r="C38" s="9"/>
      <c r="D38" s="7"/>
      <c r="E38" s="9"/>
      <c r="F38" s="7"/>
      <c r="G38" s="9"/>
      <c r="H38" s="7"/>
      <c r="I38" s="9"/>
      <c r="J38" s="7"/>
      <c r="K38" s="9"/>
      <c r="L38" s="7"/>
      <c r="M38" s="9"/>
      <c r="N38" s="7"/>
      <c r="O38" s="9"/>
      <c r="P38" s="7"/>
      <c r="Q38" s="9"/>
      <c r="R38" s="7"/>
      <c r="S38" s="9"/>
      <c r="T38" s="7"/>
      <c r="U38" s="9"/>
      <c r="V38" s="7"/>
      <c r="W38" s="9"/>
      <c r="X38" s="7"/>
      <c r="Y38" s="9"/>
      <c r="Z38" s="7"/>
      <c r="AA38" s="9"/>
      <c r="AB38" s="7"/>
      <c r="AC38" s="9"/>
      <c r="AD38" s="7"/>
      <c r="AE38" s="9"/>
      <c r="AF38" s="7"/>
      <c r="AG38" s="9"/>
      <c r="AH38" s="7"/>
      <c r="AI38" s="9"/>
      <c r="AJ38" s="7"/>
      <c r="AK38" s="9"/>
      <c r="AL38" s="7"/>
      <c r="AM38" s="9"/>
      <c r="AN38" s="7"/>
      <c r="AO38" s="9"/>
      <c r="AP38" s="7"/>
      <c r="AQ38" s="9"/>
      <c r="AR38" s="7"/>
      <c r="AS38" s="9"/>
      <c r="AT38" s="7"/>
      <c r="AU38" s="9"/>
      <c r="AV38" s="7"/>
      <c r="AW38" s="9"/>
      <c r="AX38" s="7"/>
      <c r="AY38" s="9"/>
      <c r="AZ38" s="7"/>
      <c r="BA38" s="9"/>
      <c r="BB38" s="7"/>
      <c r="BC38" s="9"/>
      <c r="BD38" s="7"/>
      <c r="BE38" s="9"/>
      <c r="BF38" s="7"/>
      <c r="BG38" s="9"/>
      <c r="BH38" s="7"/>
      <c r="BI38" s="9"/>
      <c r="BJ38" s="7"/>
      <c r="BK38" s="9"/>
      <c r="BL38" s="7"/>
      <c r="BM38" s="9"/>
      <c r="BN38" s="7"/>
      <c r="BO38" s="9"/>
      <c r="BP38" s="7"/>
      <c r="BQ38" s="9"/>
      <c r="BR38" s="7"/>
      <c r="BS38" s="9"/>
      <c r="BT38" s="7"/>
      <c r="BU38" s="9"/>
      <c r="BV38" s="7"/>
      <c r="BW38" s="9"/>
      <c r="BX38" s="7"/>
      <c r="BY38" s="9"/>
      <c r="BZ38" s="7"/>
      <c r="CA38" s="9"/>
      <c r="CB38" s="7"/>
      <c r="CC38" s="9"/>
      <c r="CD38" s="7"/>
      <c r="CE38" s="9"/>
      <c r="CF38" s="7"/>
      <c r="CG38" s="9"/>
      <c r="CH38" s="7"/>
      <c r="CI38" s="9"/>
      <c r="CJ38" s="7"/>
      <c r="CK38" s="9"/>
      <c r="CL38" s="7"/>
      <c r="CM38" s="9"/>
      <c r="CN38" s="7"/>
      <c r="CO38" s="9"/>
      <c r="CP38" s="7"/>
      <c r="CQ38" s="8"/>
      <c r="CR38" s="7"/>
      <c r="CS38" s="9"/>
      <c r="CT38" s="7"/>
      <c r="CU38" s="9"/>
      <c r="CV38" s="7"/>
      <c r="CW38" s="8"/>
      <c r="CX38" s="7"/>
      <c r="CY38" s="8"/>
      <c r="CZ38" s="7"/>
      <c r="DA38" s="9"/>
      <c r="DB38" s="7"/>
      <c r="DC38" s="9"/>
    </row>
    <row r="39" spans="2:107">
      <c r="B39" s="6" t="s">
        <v>27</v>
      </c>
      <c r="C39" s="6"/>
      <c r="D39" s="11"/>
      <c r="E39" s="6"/>
      <c r="F39" s="11"/>
      <c r="G39" s="6"/>
      <c r="H39" s="11"/>
      <c r="I39" s="6"/>
      <c r="J39" s="11">
        <f>SUM(J24:J25,J27:J35,J37)</f>
        <v>238506892.68000001</v>
      </c>
      <c r="K39" s="6"/>
      <c r="L39" s="11">
        <f>SUM(L24:L25,L27:L35,L37)</f>
        <v>164439292.53</v>
      </c>
      <c r="M39" s="6"/>
      <c r="N39" s="11">
        <f>SUM(N24:N25,N27:N35,N37)</f>
        <v>135961201.16999999</v>
      </c>
      <c r="O39" s="6"/>
      <c r="P39" s="11">
        <f>SUM(P24:P25,P27:P35,P37)</f>
        <v>128069001.81999999</v>
      </c>
      <c r="Q39" s="6"/>
      <c r="R39" s="11">
        <f>SUM(R24:R25,R27:R35,R37)</f>
        <v>174054262.63999999</v>
      </c>
      <c r="S39" s="6"/>
      <c r="T39" s="11">
        <f>SUM(T24:T25,T27:T35,T37)</f>
        <v>109001927.50999999</v>
      </c>
      <c r="U39" s="6"/>
      <c r="V39" s="11">
        <f>SUM(V24:V25,V27:V35,V37)</f>
        <v>69241396.609999985</v>
      </c>
      <c r="W39" s="6"/>
      <c r="X39" s="11">
        <f>SUM(X24:X25,X27:X35,X37)</f>
        <v>75494655.590000004</v>
      </c>
      <c r="Y39" s="6"/>
      <c r="Z39" s="11">
        <f>SUM(Z24:Z25,Z27:Z35,Z37)</f>
        <v>67530253.169999987</v>
      </c>
      <c r="AA39" s="6"/>
      <c r="AB39" s="11">
        <f>SUM(AB24:AB25,AB27:AB35,AB37)</f>
        <v>79544588.840000018</v>
      </c>
      <c r="AC39" s="6"/>
      <c r="AD39" s="11">
        <f>SUM(AD24:AD25,AD27:AD35,AD37)</f>
        <v>50054137.680000007</v>
      </c>
      <c r="AE39" s="6"/>
      <c r="AF39" s="11">
        <f>SUM(AF24:AF25,AF27:AF35,AF37)</f>
        <v>54343784.060000002</v>
      </c>
      <c r="AG39" s="6"/>
      <c r="AH39" s="11">
        <f>SUM(AH24:AH25,AH27:AH35,AH37)</f>
        <v>64101580.850000009</v>
      </c>
      <c r="AI39" s="6"/>
      <c r="AJ39" s="11">
        <f>SUM(AJ24:AJ25,AJ27:AJ35,AJ37)</f>
        <v>54574952.520000003</v>
      </c>
      <c r="AK39" s="6"/>
      <c r="AL39" s="11">
        <f>SUM(AL24:AL25,AL27:AL35,AL37)</f>
        <v>36608551.600000001</v>
      </c>
      <c r="AM39" s="6"/>
      <c r="AN39" s="11">
        <f>SUM(AN24:AN25,AN27:AN35,AN37)</f>
        <v>33954227.829999998</v>
      </c>
      <c r="AO39" s="6"/>
      <c r="AP39" s="11">
        <f>SUM(AP24:AP25,AP27:AP35,AP37)</f>
        <v>41794859.169999994</v>
      </c>
      <c r="AQ39" s="6"/>
      <c r="AR39" s="11">
        <f>SUM(AR24:AR25,AR27:AR35,AR37)</f>
        <v>40473981.770000003</v>
      </c>
      <c r="AS39" s="6"/>
      <c r="AT39" s="11">
        <f>SUM(AT24:AT25,AT27:AT35,AT37)</f>
        <v>24199932.68</v>
      </c>
      <c r="AU39" s="6"/>
      <c r="AV39" s="11">
        <f>SUM(AV24:AV25,AV27:AV35,AV37)</f>
        <v>43122234.990000002</v>
      </c>
      <c r="AW39" s="6"/>
      <c r="AX39" s="11">
        <f>SUM(AX24:AX25,AX27:AX35,AX37)</f>
        <v>52851332.460000001</v>
      </c>
      <c r="AY39" s="6"/>
      <c r="AZ39" s="11">
        <f>SUM(AZ24:AZ25,AZ27:AZ35,AZ37)</f>
        <v>33912964.879999988</v>
      </c>
      <c r="BA39" s="6"/>
      <c r="BB39" s="11">
        <f>SUM(BB24:BB25,BB27:BB35,BB37)</f>
        <v>23557807.949999996</v>
      </c>
      <c r="BC39" s="6"/>
      <c r="BD39" s="11">
        <f>SUM(BD24:BD25,BD27:BD35,BD37)</f>
        <v>34188125.950000003</v>
      </c>
      <c r="BE39" s="6"/>
      <c r="BF39" s="11">
        <f>SUM(BF24:BF25,BF27:BF35,BF37)</f>
        <v>53834603.799999997</v>
      </c>
      <c r="BG39" s="6"/>
      <c r="BH39" s="11">
        <f>SUM(BH24:BH25,BH27:BH35,BH37)</f>
        <v>21395514.740000002</v>
      </c>
      <c r="BI39" s="6"/>
      <c r="BJ39" s="11">
        <f>SUM(BJ24:BJ25,BJ27:BJ35,BJ37)</f>
        <v>14144640.68</v>
      </c>
      <c r="BK39" s="6"/>
      <c r="BL39" s="11">
        <f>SUM(BL24:BL25,BL27:BL35,BL37)</f>
        <v>14465230.58</v>
      </c>
      <c r="BM39" s="6"/>
      <c r="BN39" s="11">
        <f>SUM(BN24:BN25,BN27:BN35,BN37)</f>
        <v>34076010.449999996</v>
      </c>
      <c r="BO39" s="6"/>
      <c r="BP39" s="11">
        <f>SUM(BP24:BP25,BP27:BP35,BP37)</f>
        <v>22628645.960000001</v>
      </c>
      <c r="BQ39" s="6"/>
      <c r="BR39" s="11">
        <f>SUM(BR24:BR25,BR27:BR35,BR37)</f>
        <v>16356702.919999998</v>
      </c>
      <c r="BS39" s="6"/>
      <c r="BT39" s="11">
        <f>SUM(BT24:BT25,BT27:BT35,BT37)</f>
        <v>15364055.709999999</v>
      </c>
      <c r="BU39" s="6"/>
      <c r="BV39" s="11">
        <f>SUM(BV24:BV25,BV27:BV35,BV37)</f>
        <v>26303251.5</v>
      </c>
      <c r="BW39" s="6"/>
      <c r="BX39" s="11">
        <f>SUM(BX24:BX25,BX27:BX35,BX37)</f>
        <v>25007856.899999999</v>
      </c>
      <c r="BY39" s="6"/>
      <c r="BZ39" s="11">
        <f>SUM(BZ24:BZ25,BZ27:BZ35,BZ37)</f>
        <v>22607182.589999996</v>
      </c>
      <c r="CA39" s="6"/>
      <c r="CB39" s="11">
        <f>SUM(CB24:CB25,CB27:CB35,CB37)</f>
        <v>22399842.530000001</v>
      </c>
      <c r="CC39" s="6"/>
      <c r="CD39" s="11">
        <f>SUM(CD24:CD25,CD27:CD35,CD37)</f>
        <v>39755943.200000003</v>
      </c>
      <c r="CE39" s="6"/>
      <c r="CF39" s="11">
        <f>SUM(CF24:CF25,CF27:CF35,CF37)</f>
        <v>44336170.950000003</v>
      </c>
      <c r="CG39" s="6"/>
      <c r="CH39" s="11">
        <f>SUM(CH24:CH25,CH27:CH35,CH37)</f>
        <v>17276825.390000001</v>
      </c>
      <c r="CI39" s="6"/>
      <c r="CJ39" s="11">
        <f>SUM(CJ24:CJ25,CJ27:CJ35,CJ37)</f>
        <v>32002425.759999998</v>
      </c>
      <c r="CK39" s="6"/>
      <c r="CL39" s="11">
        <f>SUM(CL24:CL25,CL27:CL35,CL37)</f>
        <v>49622578.049999997</v>
      </c>
      <c r="CM39" s="6"/>
      <c r="CN39" s="11">
        <f>SUM(CN24:CN25,CN27:CN35,CN37)</f>
        <v>48619229.819999993</v>
      </c>
      <c r="CO39" s="6"/>
      <c r="CP39" s="11">
        <f>SUM(CP24:CP25,CP27:CP35,CP37)</f>
        <v>43707534.700000003</v>
      </c>
      <c r="CQ39" s="8"/>
      <c r="CR39" s="11">
        <f>SUM(CR24:CR25,CR27:CR35,CR37)</f>
        <v>41494967.340000004</v>
      </c>
      <c r="CS39" s="6"/>
      <c r="CT39" s="11">
        <f>SUM(CT24:CT25,CT27:CT35,CT37)</f>
        <v>57785255.709999993</v>
      </c>
      <c r="CU39" s="6"/>
      <c r="CV39" s="11">
        <f>SUM(CV24:CV25,CV27:CV35,CV37)</f>
        <v>26682464.390000001</v>
      </c>
      <c r="CW39" s="8"/>
      <c r="CX39" s="11">
        <f>SUM(CX24:CX25,CX27:CX35,CX37)</f>
        <v>18734996.259999998</v>
      </c>
      <c r="CY39" s="8"/>
      <c r="CZ39" s="11">
        <f>SUM(CZ24:CZ25,CZ27:CZ35,CZ37)</f>
        <v>40052902.379999995</v>
      </c>
      <c r="DA39" s="6"/>
      <c r="DB39" s="11">
        <f>SUM(DB24:DB25,DB27:DB35,DB37)</f>
        <v>26796836.689999998</v>
      </c>
      <c r="DC39" s="6"/>
    </row>
    <row r="40" spans="2:107">
      <c r="B40" s="8"/>
      <c r="C40" s="8"/>
      <c r="D40" s="7"/>
      <c r="E40" s="8"/>
      <c r="F40" s="7"/>
      <c r="G40" s="8"/>
      <c r="H40" s="7"/>
      <c r="I40" s="8"/>
      <c r="J40" s="7"/>
      <c r="K40" s="8"/>
      <c r="L40" s="7"/>
      <c r="M40" s="8"/>
      <c r="N40" s="7"/>
      <c r="O40" s="8"/>
      <c r="P40" s="7"/>
      <c r="Q40" s="8"/>
      <c r="R40" s="7"/>
      <c r="S40" s="8"/>
      <c r="T40" s="7"/>
      <c r="U40" s="8"/>
      <c r="V40" s="7"/>
      <c r="W40" s="8"/>
      <c r="X40" s="7"/>
      <c r="Y40" s="8"/>
      <c r="Z40" s="7"/>
      <c r="AA40" s="8"/>
      <c r="AB40" s="7"/>
      <c r="AC40" s="8"/>
      <c r="AD40" s="7"/>
      <c r="AE40" s="8"/>
      <c r="AF40" s="7"/>
      <c r="AG40" s="8"/>
      <c r="AH40" s="7"/>
      <c r="AI40" s="8"/>
      <c r="AJ40" s="7"/>
      <c r="AK40" s="8"/>
      <c r="AL40" s="7"/>
      <c r="AM40" s="8"/>
      <c r="AN40" s="7"/>
      <c r="AO40" s="8"/>
      <c r="AP40" s="7"/>
      <c r="AQ40" s="8"/>
      <c r="AR40" s="7"/>
      <c r="AS40" s="8"/>
      <c r="AT40" s="7"/>
      <c r="AU40" s="8"/>
      <c r="AV40" s="7"/>
      <c r="AW40" s="8"/>
      <c r="AX40" s="7"/>
      <c r="AY40" s="8"/>
      <c r="AZ40" s="7"/>
      <c r="BA40" s="8"/>
      <c r="BB40" s="7"/>
      <c r="BC40" s="8"/>
      <c r="BD40" s="7"/>
      <c r="BE40" s="8"/>
      <c r="BF40" s="7"/>
      <c r="BG40" s="8"/>
      <c r="BH40" s="7"/>
      <c r="BI40" s="8"/>
      <c r="BJ40" s="7"/>
      <c r="BK40" s="8"/>
      <c r="BL40" s="7"/>
      <c r="BM40" s="8"/>
      <c r="BN40" s="7"/>
      <c r="BO40" s="8"/>
      <c r="BP40" s="7"/>
      <c r="BQ40" s="8"/>
      <c r="BR40" s="7"/>
      <c r="BS40" s="8"/>
      <c r="BT40" s="7"/>
      <c r="BU40" s="8"/>
      <c r="BV40" s="7"/>
      <c r="BW40" s="8"/>
      <c r="BX40" s="7"/>
      <c r="BY40" s="8"/>
      <c r="BZ40" s="7"/>
      <c r="CA40" s="8"/>
      <c r="CB40" s="7"/>
      <c r="CC40" s="8"/>
      <c r="CD40" s="7"/>
      <c r="CE40" s="8"/>
      <c r="CF40" s="7"/>
      <c r="CG40" s="8"/>
      <c r="CH40" s="7"/>
      <c r="CI40" s="8"/>
      <c r="CJ40" s="7"/>
      <c r="CK40" s="8"/>
      <c r="CL40" s="7"/>
      <c r="CM40" s="8"/>
      <c r="CN40" s="7"/>
      <c r="CO40" s="8"/>
      <c r="CP40" s="7"/>
      <c r="CQ40" s="8"/>
      <c r="CR40" s="7"/>
      <c r="CS40" s="8"/>
      <c r="CT40" s="7"/>
      <c r="CU40" s="8"/>
      <c r="CV40" s="7"/>
      <c r="CW40" s="8"/>
      <c r="CX40" s="7"/>
      <c r="CY40" s="8"/>
      <c r="CZ40" s="7"/>
      <c r="DA40" s="8"/>
      <c r="DB40" s="7"/>
      <c r="DC40" s="8"/>
    </row>
    <row r="41" spans="2:107" ht="9.5" thickBot="1">
      <c r="B41" s="6" t="s">
        <v>28</v>
      </c>
      <c r="C41" s="6"/>
      <c r="D41" s="14"/>
      <c r="E41" s="6"/>
      <c r="F41" s="14"/>
      <c r="G41" s="6"/>
      <c r="H41" s="14"/>
      <c r="I41" s="6"/>
      <c r="J41" s="14">
        <f>J21+J39</f>
        <v>348550412.62</v>
      </c>
      <c r="K41" s="6"/>
      <c r="L41" s="14">
        <f>L21+L39</f>
        <v>270910746.26999998</v>
      </c>
      <c r="M41" s="6"/>
      <c r="N41" s="14">
        <f>N21+N39</f>
        <v>226178538.50999999</v>
      </c>
      <c r="O41" s="6"/>
      <c r="P41" s="14">
        <f>P21+P39</f>
        <v>212272457.13</v>
      </c>
      <c r="Q41" s="6"/>
      <c r="R41" s="14">
        <f>R21+R39</f>
        <v>253707512.88999999</v>
      </c>
      <c r="S41" s="6"/>
      <c r="T41" s="14">
        <f>T21+T39</f>
        <v>181902504.00999999</v>
      </c>
      <c r="U41" s="6"/>
      <c r="V41" s="14">
        <f>V21+V39</f>
        <v>141119142.20999998</v>
      </c>
      <c r="W41" s="6"/>
      <c r="X41" s="14">
        <f>X21+X39</f>
        <v>136703286.02000001</v>
      </c>
      <c r="Y41" s="6"/>
      <c r="Z41" s="14">
        <f>Z21+Z39</f>
        <v>129402457.56999999</v>
      </c>
      <c r="AA41" s="6"/>
      <c r="AB41" s="14">
        <f>AB21+AB39</f>
        <v>145771662.46000004</v>
      </c>
      <c r="AC41" s="6"/>
      <c r="AD41" s="14">
        <f>AD21+AD39</f>
        <v>114539100.03</v>
      </c>
      <c r="AE41" s="6"/>
      <c r="AF41" s="14">
        <f>AF21+AF39</f>
        <v>116895190.27999997</v>
      </c>
      <c r="AG41" s="6"/>
      <c r="AH41" s="14">
        <f>AH21+AH39</f>
        <v>127164500.13</v>
      </c>
      <c r="AI41" s="6"/>
      <c r="AJ41" s="14">
        <f>AJ21+AJ39</f>
        <v>120624991.90000001</v>
      </c>
      <c r="AK41" s="6"/>
      <c r="AL41" s="14">
        <f>AL21+AL39</f>
        <v>97544486.080000013</v>
      </c>
      <c r="AM41" s="6"/>
      <c r="AN41" s="14">
        <f>AN21+AN39</f>
        <v>95384010.75</v>
      </c>
      <c r="AO41" s="6"/>
      <c r="AP41" s="14">
        <f>AP21+AP39</f>
        <v>103568668.38999999</v>
      </c>
      <c r="AQ41" s="6"/>
      <c r="AR41" s="14">
        <f>AR21+AR39</f>
        <v>103181327.24000001</v>
      </c>
      <c r="AS41" s="6"/>
      <c r="AT41" s="14">
        <f>AT21+AT39</f>
        <v>83048512.310000002</v>
      </c>
      <c r="AU41" s="6"/>
      <c r="AV41" s="14">
        <f>AV21+AV39</f>
        <v>102453460.19</v>
      </c>
      <c r="AW41" s="6"/>
      <c r="AX41" s="14">
        <f>AX21+AX39</f>
        <v>111785707.38999999</v>
      </c>
      <c r="AY41" s="6"/>
      <c r="AZ41" s="14">
        <f>AZ21+AZ39</f>
        <v>91425222.530000001</v>
      </c>
      <c r="BA41" s="6"/>
      <c r="BB41" s="14">
        <f>BB21+BB39</f>
        <v>79086050.769999996</v>
      </c>
      <c r="BC41" s="6"/>
      <c r="BD41" s="14">
        <f>BD21+BD39</f>
        <v>89576388.540000007</v>
      </c>
      <c r="BE41" s="6"/>
      <c r="BF41" s="14">
        <f>BF21+BF39</f>
        <v>108348077.03</v>
      </c>
      <c r="BG41" s="6"/>
      <c r="BH41" s="14">
        <f>BH21+BH39</f>
        <v>75317553.200000003</v>
      </c>
      <c r="BI41" s="6"/>
      <c r="BJ41" s="14">
        <f>BJ21+BJ39</f>
        <v>85578009.819999993</v>
      </c>
      <c r="BK41" s="6"/>
      <c r="BL41" s="14">
        <f>BL21+BL39</f>
        <v>84133974.239999995</v>
      </c>
      <c r="BM41" s="6"/>
      <c r="BN41" s="14">
        <f>BN21+BN39</f>
        <v>103467478.26000002</v>
      </c>
      <c r="BO41" s="6"/>
      <c r="BP41" s="14">
        <f>BP21+BP39</f>
        <v>91111553.080000013</v>
      </c>
      <c r="BQ41" s="6"/>
      <c r="BR41" s="14">
        <f>BR21+BR39</f>
        <v>82981438.679999992</v>
      </c>
      <c r="BS41" s="6"/>
      <c r="BT41" s="14">
        <f>BT21+BT39</f>
        <v>83254918.030000001</v>
      </c>
      <c r="BU41" s="6"/>
      <c r="BV41" s="14">
        <f>BV21+BV39</f>
        <v>88299054.820000023</v>
      </c>
      <c r="BW41" s="6"/>
      <c r="BX41" s="14">
        <f>BX21+BX39</f>
        <v>88472459.629999995</v>
      </c>
      <c r="BY41" s="6"/>
      <c r="BZ41" s="14">
        <f>BZ21+BZ39</f>
        <v>85559013.939999998</v>
      </c>
      <c r="CA41" s="6"/>
      <c r="CB41" s="14">
        <f>CB21+CB39</f>
        <v>85703340.939999998</v>
      </c>
      <c r="CC41" s="6"/>
      <c r="CD41" s="14">
        <f>CD21+CD39</f>
        <v>101186452.53</v>
      </c>
      <c r="CE41" s="6"/>
      <c r="CF41" s="14">
        <f>CF21+CF39</f>
        <v>103769216.77000001</v>
      </c>
      <c r="CG41" s="6"/>
      <c r="CH41" s="14">
        <f>CH21+CH39</f>
        <v>75290767</v>
      </c>
      <c r="CI41" s="6"/>
      <c r="CJ41" s="14">
        <f>CJ21+CJ39</f>
        <v>88295686.140000001</v>
      </c>
      <c r="CK41" s="6"/>
      <c r="CL41" s="14">
        <f>CL21+CL39</f>
        <v>102799410.59999999</v>
      </c>
      <c r="CM41" s="6"/>
      <c r="CN41" s="14">
        <f>CN21+CN39</f>
        <v>98890754.972215623</v>
      </c>
      <c r="CO41" s="6"/>
      <c r="CP41" s="14">
        <f>CP21+CP39</f>
        <v>93286725.598148733</v>
      </c>
      <c r="CQ41" s="8"/>
      <c r="CR41" s="14">
        <f>CR21+CR39</f>
        <v>90478629.495362282</v>
      </c>
      <c r="CS41" s="6"/>
      <c r="CT41" s="14">
        <f>CT21+CT39</f>
        <v>101097145.96912408</v>
      </c>
      <c r="CU41" s="6"/>
      <c r="CV41" s="14">
        <f>CV21+CV39</f>
        <v>65081606.008748032</v>
      </c>
      <c r="CW41" s="8"/>
      <c r="CX41" s="14">
        <f>CX21+CX39</f>
        <v>45692716.574081138</v>
      </c>
      <c r="CY41" s="8"/>
      <c r="CZ41" s="14">
        <f>CZ21+CZ39</f>
        <v>61899103.742671348</v>
      </c>
      <c r="DA41" s="6"/>
      <c r="DB41" s="14">
        <f>DB21+DB39</f>
        <v>50379478.39347975</v>
      </c>
      <c r="DC41" s="6"/>
    </row>
    <row r="42" spans="2:107">
      <c r="CQ42" s="8"/>
      <c r="CW42" s="8"/>
      <c r="CY42" s="8"/>
    </row>
    <row r="43" spans="2:107">
      <c r="CQ43" s="8"/>
      <c r="CW43" s="8"/>
      <c r="CY43" s="8"/>
    </row>
    <row r="44" spans="2:107">
      <c r="B44" s="6" t="s">
        <v>29</v>
      </c>
      <c r="C44" s="6"/>
      <c r="D44" s="7"/>
      <c r="E44" s="6"/>
      <c r="F44" s="7"/>
      <c r="G44" s="6"/>
      <c r="H44" s="7"/>
      <c r="I44" s="6"/>
      <c r="J44" s="7"/>
      <c r="K44" s="6"/>
      <c r="L44" s="7"/>
      <c r="M44" s="6"/>
      <c r="N44" s="7"/>
      <c r="O44" s="6"/>
      <c r="P44" s="7"/>
      <c r="Q44" s="6"/>
      <c r="R44" s="7"/>
      <c r="S44" s="6"/>
      <c r="T44" s="7"/>
      <c r="U44" s="6"/>
      <c r="V44" s="7"/>
      <c r="W44" s="6"/>
      <c r="X44" s="7"/>
      <c r="Y44" s="6"/>
      <c r="Z44" s="7"/>
      <c r="AA44" s="6"/>
      <c r="AB44" s="7"/>
      <c r="AC44" s="6"/>
      <c r="AD44" s="7"/>
      <c r="AE44" s="6"/>
      <c r="AF44" s="7"/>
      <c r="AG44" s="6"/>
      <c r="AH44" s="7"/>
      <c r="AI44" s="6"/>
      <c r="AJ44" s="7"/>
      <c r="AK44" s="6"/>
      <c r="AL44" s="7"/>
      <c r="AM44" s="6"/>
      <c r="AN44" s="7"/>
      <c r="AO44" s="6"/>
      <c r="AP44" s="7"/>
      <c r="AQ44" s="6"/>
      <c r="AR44" s="7"/>
      <c r="AS44" s="6"/>
      <c r="AT44" s="7"/>
      <c r="AU44" s="6"/>
      <c r="AV44" s="7"/>
      <c r="AW44" s="6"/>
      <c r="AX44" s="7"/>
      <c r="AY44" s="6"/>
      <c r="AZ44" s="7"/>
      <c r="BA44" s="6"/>
      <c r="BB44" s="7"/>
      <c r="BC44" s="6"/>
      <c r="BD44" s="7"/>
      <c r="BE44" s="6"/>
      <c r="BF44" s="7"/>
      <c r="BG44" s="6"/>
      <c r="BH44" s="7"/>
      <c r="BI44" s="6"/>
      <c r="BJ44" s="7"/>
      <c r="BK44" s="6"/>
      <c r="BL44" s="7"/>
      <c r="BM44" s="6"/>
      <c r="BN44" s="7"/>
      <c r="BO44" s="6"/>
      <c r="BP44" s="7"/>
      <c r="BQ44" s="6"/>
      <c r="BR44" s="7"/>
      <c r="BS44" s="6"/>
      <c r="BT44" s="7"/>
      <c r="BU44" s="6"/>
      <c r="BV44" s="7"/>
      <c r="BW44" s="6"/>
      <c r="BX44" s="7"/>
      <c r="BY44" s="6"/>
      <c r="BZ44" s="7"/>
      <c r="CA44" s="6"/>
      <c r="CB44" s="7"/>
      <c r="CC44" s="6"/>
      <c r="CD44" s="7"/>
      <c r="CE44" s="6"/>
      <c r="CF44" s="7"/>
      <c r="CG44" s="6"/>
      <c r="CH44" s="7"/>
      <c r="CI44" s="6"/>
      <c r="CJ44" s="7"/>
      <c r="CK44" s="6"/>
      <c r="CL44" s="7"/>
      <c r="CM44" s="6"/>
      <c r="CN44" s="7"/>
      <c r="CO44" s="6"/>
      <c r="CP44" s="7"/>
      <c r="CQ44" s="9"/>
      <c r="CR44" s="7"/>
      <c r="CS44" s="6"/>
      <c r="CT44" s="7"/>
      <c r="CU44" s="6"/>
      <c r="CV44" s="7"/>
      <c r="CW44" s="9"/>
      <c r="CX44" s="15"/>
      <c r="CY44" s="9"/>
      <c r="CZ44" s="7"/>
      <c r="DA44" s="6"/>
      <c r="DB44" s="7"/>
      <c r="DC44" s="6"/>
    </row>
    <row r="45" spans="2:107">
      <c r="B45" s="16" t="s">
        <v>30</v>
      </c>
      <c r="C45" s="16"/>
      <c r="D45" s="7"/>
      <c r="E45" s="16"/>
      <c r="F45" s="7"/>
      <c r="G45" s="16"/>
      <c r="H45" s="7"/>
      <c r="I45" s="16"/>
      <c r="J45" s="7">
        <v>4264564.5</v>
      </c>
      <c r="K45" s="16"/>
      <c r="L45" s="7">
        <v>4264564.5</v>
      </c>
      <c r="M45" s="16"/>
      <c r="N45" s="7">
        <v>4264564.5</v>
      </c>
      <c r="O45" s="16"/>
      <c r="P45" s="7">
        <v>4264564.5</v>
      </c>
      <c r="Q45" s="16"/>
      <c r="R45" s="7">
        <v>4264564.5</v>
      </c>
      <c r="S45" s="16"/>
      <c r="T45" s="7">
        <v>4264564.5</v>
      </c>
      <c r="U45" s="16"/>
      <c r="V45" s="7">
        <v>4264564.5</v>
      </c>
      <c r="W45" s="16"/>
      <c r="X45" s="7">
        <v>4264564.5</v>
      </c>
      <c r="Y45" s="16"/>
      <c r="Z45" s="7">
        <v>4264564.5</v>
      </c>
      <c r="AA45" s="16"/>
      <c r="AB45" s="7">
        <v>4264564.5</v>
      </c>
      <c r="AC45" s="16"/>
      <c r="AD45" s="7">
        <v>4264564.5</v>
      </c>
      <c r="AE45" s="16"/>
      <c r="AF45" s="7">
        <v>4264564.5</v>
      </c>
      <c r="AG45" s="16"/>
      <c r="AH45" s="7">
        <v>4264564.5</v>
      </c>
      <c r="AI45" s="16"/>
      <c r="AJ45" s="7">
        <v>4264564.5</v>
      </c>
      <c r="AK45" s="16"/>
      <c r="AL45" s="7">
        <v>4264564.5</v>
      </c>
      <c r="AM45" s="16"/>
      <c r="AN45" s="7">
        <v>4264564.5</v>
      </c>
      <c r="AO45" s="16"/>
      <c r="AP45" s="7">
        <v>4264564.5</v>
      </c>
      <c r="AQ45" s="16"/>
      <c r="AR45" s="7">
        <v>4264564.5</v>
      </c>
      <c r="AS45" s="16"/>
      <c r="AT45" s="7">
        <v>4264564.5</v>
      </c>
      <c r="AU45" s="16"/>
      <c r="AV45" s="7">
        <v>4264564.5</v>
      </c>
      <c r="AW45" s="16"/>
      <c r="AX45" s="7">
        <v>4264564.5</v>
      </c>
      <c r="AY45" s="16"/>
      <c r="AZ45" s="7">
        <v>4264564.5</v>
      </c>
      <c r="BA45" s="16"/>
      <c r="BB45" s="7">
        <v>4264564.5</v>
      </c>
      <c r="BC45" s="16"/>
      <c r="BD45" s="7">
        <v>4264564.5</v>
      </c>
      <c r="BE45" s="16"/>
      <c r="BF45" s="7">
        <v>4264564.5</v>
      </c>
      <c r="BG45" s="16"/>
      <c r="BH45" s="7">
        <v>4264564.5</v>
      </c>
      <c r="BI45" s="16"/>
      <c r="BJ45" s="7">
        <v>4264564.5</v>
      </c>
      <c r="BK45" s="16"/>
      <c r="BL45" s="7">
        <v>4264564.5</v>
      </c>
      <c r="BM45" s="16"/>
      <c r="BN45" s="7">
        <v>4264564.5</v>
      </c>
      <c r="BO45" s="16"/>
      <c r="BP45" s="7">
        <v>4264564.5</v>
      </c>
      <c r="BQ45" s="16"/>
      <c r="BR45" s="7">
        <v>4264564.5</v>
      </c>
      <c r="BS45" s="16"/>
      <c r="BT45" s="7">
        <v>4264564.5</v>
      </c>
      <c r="BU45" s="16"/>
      <c r="BV45" s="7">
        <v>4264564.5</v>
      </c>
      <c r="BW45" s="16"/>
      <c r="BX45" s="7">
        <v>4264564.5</v>
      </c>
      <c r="BY45" s="16"/>
      <c r="BZ45" s="7">
        <v>4264564.5</v>
      </c>
      <c r="CA45" s="16"/>
      <c r="CB45" s="7">
        <v>4264564.5</v>
      </c>
      <c r="CC45" s="16"/>
      <c r="CD45" s="7">
        <v>4264564.5</v>
      </c>
      <c r="CE45" s="16"/>
      <c r="CF45" s="7">
        <v>4264564.5</v>
      </c>
      <c r="CG45" s="16"/>
      <c r="CH45" s="7">
        <v>4264564.5</v>
      </c>
      <c r="CI45" s="16"/>
      <c r="CJ45" s="7">
        <v>4264564.5</v>
      </c>
      <c r="CK45" s="16"/>
      <c r="CL45" s="7">
        <v>4264564.5</v>
      </c>
      <c r="CM45" s="16"/>
      <c r="CN45" s="7">
        <v>4264564.5</v>
      </c>
      <c r="CO45" s="16"/>
      <c r="CP45" s="7">
        <v>4264564.5</v>
      </c>
      <c r="CQ45" s="9"/>
      <c r="CR45" s="7">
        <v>4264564.5</v>
      </c>
      <c r="CS45" s="16"/>
      <c r="CT45" s="7">
        <v>3359564.5</v>
      </c>
      <c r="CU45" s="16"/>
      <c r="CV45" s="7">
        <v>3359564.5</v>
      </c>
      <c r="CW45" s="9"/>
      <c r="CX45" s="7">
        <v>3341000</v>
      </c>
      <c r="CY45" s="9"/>
      <c r="CZ45" s="7">
        <v>3341000</v>
      </c>
      <c r="DA45" s="8"/>
      <c r="DB45" s="7">
        <v>3341000</v>
      </c>
      <c r="DC45" s="16"/>
    </row>
    <row r="46" spans="2:107">
      <c r="B46" s="16" t="s">
        <v>31</v>
      </c>
      <c r="C46" s="16"/>
      <c r="D46" s="7"/>
      <c r="E46" s="16"/>
      <c r="F46" s="7"/>
      <c r="G46" s="16"/>
      <c r="H46" s="7"/>
      <c r="I46" s="16"/>
      <c r="J46" s="7">
        <v>45559133.549999997</v>
      </c>
      <c r="K46" s="16"/>
      <c r="L46" s="7">
        <v>45559133.549999997</v>
      </c>
      <c r="M46" s="16"/>
      <c r="N46" s="7">
        <v>45559133.549999997</v>
      </c>
      <c r="O46" s="16"/>
      <c r="P46" s="7">
        <v>45559133.549999997</v>
      </c>
      <c r="Q46" s="16"/>
      <c r="R46" s="7">
        <v>45475978.32</v>
      </c>
      <c r="S46" s="16"/>
      <c r="T46" s="7">
        <v>45475978.32</v>
      </c>
      <c r="U46" s="16"/>
      <c r="V46" s="7">
        <v>45475978.32</v>
      </c>
      <c r="W46" s="16"/>
      <c r="X46" s="7">
        <v>45475978.32</v>
      </c>
      <c r="Y46" s="16"/>
      <c r="Z46" s="7">
        <v>49141732.259999998</v>
      </c>
      <c r="AA46" s="16"/>
      <c r="AB46" s="7">
        <v>49141732.259999998</v>
      </c>
      <c r="AC46" s="16"/>
      <c r="AD46" s="7">
        <v>49141732.259999998</v>
      </c>
      <c r="AE46" s="16"/>
      <c r="AF46" s="7">
        <v>49141732.259999998</v>
      </c>
      <c r="AG46" s="16"/>
      <c r="AH46" s="7">
        <v>59532480.710000001</v>
      </c>
      <c r="AI46" s="16"/>
      <c r="AJ46" s="7">
        <v>59532480.710000001</v>
      </c>
      <c r="AK46" s="16"/>
      <c r="AL46" s="7">
        <v>59532480.710000001</v>
      </c>
      <c r="AM46" s="16"/>
      <c r="AN46" s="7">
        <v>59532480.710000001</v>
      </c>
      <c r="AO46" s="16"/>
      <c r="AP46" s="7">
        <v>57970243</v>
      </c>
      <c r="AQ46" s="16"/>
      <c r="AR46" s="7">
        <v>57970243</v>
      </c>
      <c r="AS46" s="16"/>
      <c r="AT46" s="7">
        <v>57970243</v>
      </c>
      <c r="AU46" s="16"/>
      <c r="AV46" s="7">
        <v>57970243</v>
      </c>
      <c r="AW46" s="16"/>
      <c r="AX46" s="7">
        <v>53253908.039999999</v>
      </c>
      <c r="AY46" s="16"/>
      <c r="AZ46" s="7">
        <v>53253908.039999999</v>
      </c>
      <c r="BA46" s="16"/>
      <c r="BB46" s="7">
        <v>53253908.039999999</v>
      </c>
      <c r="BC46" s="16"/>
      <c r="BD46" s="7">
        <v>53253908.039999999</v>
      </c>
      <c r="BE46" s="16"/>
      <c r="BF46" s="7">
        <v>52800320.649999999</v>
      </c>
      <c r="BG46" s="16"/>
      <c r="BH46" s="7">
        <v>52800320.649999999</v>
      </c>
      <c r="BI46" s="16"/>
      <c r="BJ46" s="7">
        <v>52800320.649999999</v>
      </c>
      <c r="BK46" s="16"/>
      <c r="BL46" s="7">
        <v>52800320.649999999</v>
      </c>
      <c r="BM46" s="16"/>
      <c r="BN46" s="7">
        <v>52800320.649999999</v>
      </c>
      <c r="BO46" s="16"/>
      <c r="BP46" s="7">
        <v>52800320.649999999</v>
      </c>
      <c r="BQ46" s="16"/>
      <c r="BR46" s="7">
        <v>52800320.649999999</v>
      </c>
      <c r="BS46" s="16"/>
      <c r="BT46" s="7">
        <v>51462937.799999997</v>
      </c>
      <c r="BU46" s="16"/>
      <c r="BV46" s="7">
        <v>51462937.799999997</v>
      </c>
      <c r="BW46" s="16"/>
      <c r="BX46" s="7">
        <v>51462937.799999997</v>
      </c>
      <c r="BY46" s="16"/>
      <c r="BZ46" s="7">
        <v>51462937.799999997</v>
      </c>
      <c r="CA46" s="16"/>
      <c r="CB46" s="7">
        <v>52228936.909999996</v>
      </c>
      <c r="CC46" s="16"/>
      <c r="CD46" s="7">
        <v>52228936.909999996</v>
      </c>
      <c r="CE46" s="16"/>
      <c r="CF46" s="7">
        <v>52228936.909999996</v>
      </c>
      <c r="CG46" s="16"/>
      <c r="CH46" s="7">
        <v>52228936.909999996</v>
      </c>
      <c r="CI46" s="16"/>
      <c r="CJ46" s="7">
        <v>51186450.32</v>
      </c>
      <c r="CK46" s="16"/>
      <c r="CL46" s="7">
        <v>51186450.32</v>
      </c>
      <c r="CM46" s="16"/>
      <c r="CN46" s="7">
        <v>51192825.32</v>
      </c>
      <c r="CO46" s="16"/>
      <c r="CP46" s="7">
        <v>51192879.32</v>
      </c>
      <c r="CQ46" s="9"/>
      <c r="CR46" s="7">
        <v>47391868.490000002</v>
      </c>
      <c r="CS46" s="16"/>
      <c r="CT46" s="7">
        <v>18424294.399999999</v>
      </c>
      <c r="CU46" s="16"/>
      <c r="CV46" s="7">
        <v>18430794.399999999</v>
      </c>
      <c r="CW46" s="9"/>
      <c r="CX46" s="7">
        <v>18326320.300000001</v>
      </c>
      <c r="CY46" s="9"/>
      <c r="CZ46" s="7">
        <v>17122128.079999998</v>
      </c>
      <c r="DA46" s="8"/>
      <c r="DB46" s="7">
        <v>16681340</v>
      </c>
      <c r="DC46" s="16"/>
    </row>
    <row r="47" spans="2:107">
      <c r="B47" s="16" t="s">
        <v>32</v>
      </c>
      <c r="C47" s="16"/>
      <c r="D47" s="7"/>
      <c r="E47" s="16"/>
      <c r="F47" s="7"/>
      <c r="G47" s="16"/>
      <c r="H47" s="7"/>
      <c r="I47" s="16"/>
      <c r="J47" s="7">
        <v>4507.22</v>
      </c>
      <c r="K47" s="16"/>
      <c r="L47" s="7">
        <v>4507.22</v>
      </c>
      <c r="M47" s="16"/>
      <c r="N47" s="7">
        <v>36446.019999999997</v>
      </c>
      <c r="O47" s="16"/>
      <c r="P47" s="7">
        <v>36446.019999999997</v>
      </c>
      <c r="Q47" s="16"/>
      <c r="R47" s="7">
        <v>36446.019999999997</v>
      </c>
      <c r="S47" s="16"/>
      <c r="T47" s="7">
        <v>36446.019999999997</v>
      </c>
      <c r="U47" s="16"/>
      <c r="V47" s="7">
        <v>56007.16</v>
      </c>
      <c r="W47" s="16"/>
      <c r="X47" s="7">
        <v>56007.16</v>
      </c>
      <c r="Y47" s="16"/>
      <c r="Z47" s="7">
        <v>56007.16</v>
      </c>
      <c r="AA47" s="16"/>
      <c r="AB47" s="7">
        <v>56007.16</v>
      </c>
      <c r="AC47" s="16"/>
      <c r="AD47" s="7">
        <v>22064.94</v>
      </c>
      <c r="AE47" s="16"/>
      <c r="AF47" s="7">
        <v>22064.94</v>
      </c>
      <c r="AG47" s="16"/>
      <c r="AH47" s="7">
        <v>22064.94</v>
      </c>
      <c r="AI47" s="16"/>
      <c r="AJ47" s="7">
        <v>22064.94</v>
      </c>
      <c r="AK47" s="16"/>
      <c r="AL47" s="7">
        <v>4388.6499999999996</v>
      </c>
      <c r="AM47" s="16"/>
      <c r="AN47" s="7">
        <v>4388.6499999999996</v>
      </c>
      <c r="AO47" s="16"/>
      <c r="AP47" s="7">
        <v>4388.6499999999996</v>
      </c>
      <c r="AQ47" s="16"/>
      <c r="AR47" s="7">
        <v>4388.6499999999996</v>
      </c>
      <c r="AS47" s="16"/>
      <c r="AT47" s="7">
        <v>1059.1300000000001</v>
      </c>
      <c r="AU47" s="16"/>
      <c r="AV47" s="7">
        <v>1059.1300000000001</v>
      </c>
      <c r="AW47" s="16"/>
      <c r="AX47" s="7">
        <v>1059.1300000000001</v>
      </c>
      <c r="AY47" s="16"/>
      <c r="AZ47" s="7">
        <v>1059.1300000000001</v>
      </c>
      <c r="BA47" s="16"/>
      <c r="BB47" s="7">
        <v>-6453.9</v>
      </c>
      <c r="BC47" s="16"/>
      <c r="BD47" s="7">
        <v>-6453.9</v>
      </c>
      <c r="BE47" s="16"/>
      <c r="BF47" s="7">
        <v>-6453.9</v>
      </c>
      <c r="BG47" s="16"/>
      <c r="BH47" s="7">
        <v>-6453.9</v>
      </c>
      <c r="BI47" s="16"/>
      <c r="BJ47" s="7">
        <v>5942.38</v>
      </c>
      <c r="BK47" s="16"/>
      <c r="BL47" s="7">
        <v>5942.38</v>
      </c>
      <c r="BM47" s="16"/>
      <c r="BN47" s="7">
        <v>5942.38</v>
      </c>
      <c r="BO47" s="16"/>
      <c r="BP47" s="7">
        <v>5942.38</v>
      </c>
      <c r="BQ47" s="16"/>
      <c r="BR47" s="7">
        <v>5942.38</v>
      </c>
      <c r="BS47" s="16"/>
      <c r="BT47" s="7">
        <v>5942.38</v>
      </c>
      <c r="BU47" s="16"/>
      <c r="BV47" s="7">
        <v>5942.38</v>
      </c>
      <c r="BW47" s="16"/>
      <c r="BX47" s="7">
        <v>228.59</v>
      </c>
      <c r="BY47" s="16"/>
      <c r="BZ47" s="7">
        <v>228.59</v>
      </c>
      <c r="CA47" s="16"/>
      <c r="CB47" s="7">
        <v>228.59</v>
      </c>
      <c r="CC47" s="16"/>
      <c r="CD47" s="7">
        <v>228.59</v>
      </c>
      <c r="CE47" s="16"/>
      <c r="CF47" s="7">
        <v>-4095.91</v>
      </c>
      <c r="CG47" s="16"/>
      <c r="CH47" s="7">
        <v>-4095.91</v>
      </c>
      <c r="CI47" s="16"/>
      <c r="CJ47" s="7">
        <v>-4095.91</v>
      </c>
      <c r="CK47" s="16"/>
      <c r="CL47" s="7">
        <v>-4095.91</v>
      </c>
      <c r="CM47" s="16"/>
      <c r="CN47" s="7">
        <v>4876.9776000000011</v>
      </c>
      <c r="CO47" s="16"/>
      <c r="CP47" s="7">
        <v>4876.9776000000011</v>
      </c>
      <c r="CQ47" s="8"/>
      <c r="CR47" s="7">
        <v>4876.9776000000011</v>
      </c>
      <c r="CS47" s="16"/>
      <c r="CT47" s="7">
        <v>29902451.067600001</v>
      </c>
      <c r="CU47" s="16"/>
      <c r="CV47" s="7">
        <v>415714.86081653455</v>
      </c>
      <c r="CW47" s="8"/>
      <c r="CX47" s="7">
        <v>405173.65699559776</v>
      </c>
      <c r="CY47" s="8"/>
      <c r="CZ47" s="7">
        <v>384091.24935372424</v>
      </c>
      <c r="DA47" s="8"/>
      <c r="DB47" s="7">
        <v>130392.93535124139</v>
      </c>
      <c r="DC47" s="16"/>
    </row>
    <row r="48" spans="2:107">
      <c r="B48" s="16" t="s">
        <v>33</v>
      </c>
      <c r="C48" s="16"/>
      <c r="D48" s="7"/>
      <c r="E48" s="16"/>
      <c r="F48" s="7"/>
      <c r="G48" s="16"/>
      <c r="H48" s="7"/>
      <c r="I48" s="16"/>
      <c r="J48" s="7">
        <v>77523369.930000007</v>
      </c>
      <c r="K48" s="16"/>
      <c r="L48" s="7">
        <v>0</v>
      </c>
      <c r="M48" s="16"/>
      <c r="N48" s="7">
        <v>0</v>
      </c>
      <c r="O48" s="16"/>
      <c r="P48" s="7">
        <v>0</v>
      </c>
      <c r="Q48" s="16"/>
      <c r="R48" s="7">
        <v>25926416.100000001</v>
      </c>
      <c r="S48" s="16"/>
      <c r="T48" s="7">
        <v>0</v>
      </c>
      <c r="U48" s="16"/>
      <c r="V48" s="7">
        <v>0</v>
      </c>
      <c r="W48" s="16"/>
      <c r="X48" s="7">
        <v>0</v>
      </c>
      <c r="Y48" s="16"/>
      <c r="Z48" s="7">
        <v>1451723.46</v>
      </c>
      <c r="AA48" s="16"/>
      <c r="AB48" s="7">
        <v>0</v>
      </c>
      <c r="AC48" s="16"/>
      <c r="AD48" s="7">
        <v>0</v>
      </c>
      <c r="AE48" s="16"/>
      <c r="AF48" s="7">
        <v>0</v>
      </c>
      <c r="AG48" s="16"/>
      <c r="AH48" s="7">
        <v>-6552640.4000000004</v>
      </c>
      <c r="AI48" s="16"/>
      <c r="AJ48" s="7">
        <v>-10930103.9</v>
      </c>
      <c r="AK48" s="16"/>
      <c r="AL48" s="7">
        <v>-10930103.9</v>
      </c>
      <c r="AM48" s="16"/>
      <c r="AN48" s="7">
        <v>-10930103.9</v>
      </c>
      <c r="AO48" s="16"/>
      <c r="AP48" s="7">
        <v>-5529758.1400000006</v>
      </c>
      <c r="AQ48" s="16"/>
      <c r="AR48" s="7">
        <v>-10930103.9</v>
      </c>
      <c r="AS48" s="16"/>
      <c r="AT48" s="7">
        <v>-10930103.9</v>
      </c>
      <c r="AU48" s="16"/>
      <c r="AV48" s="7">
        <v>-10930103.9</v>
      </c>
      <c r="AW48" s="16"/>
      <c r="AX48" s="7">
        <v>-3143282.5</v>
      </c>
      <c r="AY48" s="16"/>
      <c r="AZ48" s="7">
        <v>-10930103.9</v>
      </c>
      <c r="BA48" s="16"/>
      <c r="BB48" s="7">
        <v>-10930103.9</v>
      </c>
      <c r="BC48" s="16"/>
      <c r="BD48" s="7">
        <v>-10930103.9</v>
      </c>
      <c r="BE48" s="16"/>
      <c r="BF48" s="7">
        <v>-10476451.02</v>
      </c>
      <c r="BG48" s="16"/>
      <c r="BH48" s="7">
        <v>-7137371.5600000005</v>
      </c>
      <c r="BI48" s="16"/>
      <c r="BJ48" s="7">
        <v>-1137011.1200000001</v>
      </c>
      <c r="BK48" s="16"/>
      <c r="BL48" s="7">
        <v>-1137011.1200000001</v>
      </c>
      <c r="BM48" s="16"/>
      <c r="BN48" s="7">
        <v>-1137011.1200000001</v>
      </c>
      <c r="BO48" s="16"/>
      <c r="BP48" s="7">
        <v>-1137011.1200000001</v>
      </c>
      <c r="BQ48" s="16"/>
      <c r="BR48" s="7">
        <v>-1137011.1200000001</v>
      </c>
      <c r="BS48" s="16"/>
      <c r="BT48" s="7">
        <v>200371.72999999998</v>
      </c>
      <c r="BU48" s="16"/>
      <c r="BV48" s="7">
        <v>-1137011.1200000001</v>
      </c>
      <c r="BW48" s="16"/>
      <c r="BX48" s="7">
        <v>-1137011.1200000001</v>
      </c>
      <c r="BY48" s="16"/>
      <c r="BZ48" s="7">
        <v>-1137011.1200000001</v>
      </c>
      <c r="CA48" s="16"/>
      <c r="CB48" s="7">
        <v>-1903010.23</v>
      </c>
      <c r="CC48" s="16"/>
      <c r="CD48" s="7">
        <v>-1137011.1200000001</v>
      </c>
      <c r="CE48" s="16"/>
      <c r="CF48" s="7">
        <v>-1137011.1200000001</v>
      </c>
      <c r="CG48" s="16"/>
      <c r="CH48" s="7">
        <v>-1137011.1200000001</v>
      </c>
      <c r="CI48" s="16"/>
      <c r="CJ48" s="7">
        <v>-94524.53</v>
      </c>
      <c r="CK48" s="16"/>
      <c r="CL48" s="7">
        <v>-1137011.1200000001</v>
      </c>
      <c r="CM48" s="16"/>
      <c r="CN48" s="7">
        <v>-1003114.1160909645</v>
      </c>
      <c r="CO48" s="16"/>
      <c r="CP48" s="7">
        <v>-1003114.1160909645</v>
      </c>
      <c r="CQ48" s="17"/>
      <c r="CR48" s="7">
        <v>2818970.713909036</v>
      </c>
      <c r="CS48" s="16"/>
      <c r="CT48" s="7">
        <v>-473120.74555161677</v>
      </c>
      <c r="CU48" s="16"/>
      <c r="CV48" s="7">
        <v>-539124.29755372426</v>
      </c>
      <c r="CW48" s="17"/>
      <c r="CX48" s="7">
        <v>-539124.29755372426</v>
      </c>
      <c r="CY48" s="17"/>
      <c r="CZ48" s="7">
        <v>-172919.55334229523</v>
      </c>
      <c r="DA48" s="8"/>
      <c r="DB48" s="7">
        <v>-266155.12871559593</v>
      </c>
      <c r="DC48" s="16"/>
    </row>
    <row r="49" spans="2:107">
      <c r="B49" s="16" t="s">
        <v>34</v>
      </c>
      <c r="C49" s="16"/>
      <c r="D49" s="7"/>
      <c r="E49" s="16"/>
      <c r="F49" s="7"/>
      <c r="G49" s="16"/>
      <c r="H49" s="7"/>
      <c r="I49" s="16"/>
      <c r="J49" s="7">
        <v>27773582.100000024</v>
      </c>
      <c r="K49" s="16"/>
      <c r="L49" s="7">
        <v>77523369.929999962</v>
      </c>
      <c r="M49" s="16"/>
      <c r="N49" s="7">
        <v>59591083.960000008</v>
      </c>
      <c r="O49" s="16"/>
      <c r="P49" s="7">
        <v>52702027.670000017</v>
      </c>
      <c r="Q49" s="16"/>
      <c r="R49" s="7">
        <v>23988700.339999996</v>
      </c>
      <c r="S49" s="16"/>
      <c r="T49" s="7">
        <v>25926416.100000016</v>
      </c>
      <c r="U49" s="16"/>
      <c r="V49" s="7">
        <v>16948747.740000021</v>
      </c>
      <c r="W49" s="16"/>
      <c r="X49" s="7">
        <v>11855457.070000008</v>
      </c>
      <c r="Y49" s="16"/>
      <c r="Z49" s="7">
        <v>11640838.139999999</v>
      </c>
      <c r="AA49" s="16"/>
      <c r="AB49" s="7">
        <v>1451723.4600000121</v>
      </c>
      <c r="AC49" s="16"/>
      <c r="AD49" s="7">
        <v>22432.339999993565</v>
      </c>
      <c r="AE49" s="16"/>
      <c r="AF49" s="7">
        <v>768616.62000000593</v>
      </c>
      <c r="AG49" s="16"/>
      <c r="AH49" s="7">
        <v>883756.35999999777</v>
      </c>
      <c r="AI49" s="16"/>
      <c r="AJ49" s="7">
        <v>4377463.4999999963</v>
      </c>
      <c r="AK49" s="16"/>
      <c r="AL49" s="7">
        <v>2709895.1400000043</v>
      </c>
      <c r="AM49" s="16"/>
      <c r="AN49" s="7">
        <v>4486922.9000000088</v>
      </c>
      <c r="AO49" s="16"/>
      <c r="AP49" s="7">
        <v>3135994.9800000009</v>
      </c>
      <c r="AQ49" s="16"/>
      <c r="AR49" s="7">
        <v>5400345.7600000035</v>
      </c>
      <c r="AS49" s="16"/>
      <c r="AT49" s="7">
        <v>3252122.5599999893</v>
      </c>
      <c r="AU49" s="16"/>
      <c r="AV49" s="7">
        <v>2914349.1800000044</v>
      </c>
      <c r="AW49" s="16"/>
      <c r="AX49" s="7">
        <v>1436802.6299999997</v>
      </c>
      <c r="AY49" s="16"/>
      <c r="AZ49" s="7">
        <v>7786821.4000000143</v>
      </c>
      <c r="BA49" s="16"/>
      <c r="BB49" s="7">
        <v>8535697.2099999972</v>
      </c>
      <c r="BC49" s="16"/>
      <c r="BD49" s="7">
        <v>8799682.7899999935</v>
      </c>
      <c r="BE49" s="16"/>
      <c r="BF49" s="7">
        <v>8080416.2299999986</v>
      </c>
      <c r="BG49" s="16"/>
      <c r="BH49" s="7">
        <v>-2461817.6600000029</v>
      </c>
      <c r="BI49" s="16"/>
      <c r="BJ49" s="7">
        <v>617535.08999999834</v>
      </c>
      <c r="BK49" s="16"/>
      <c r="BL49" s="7">
        <v>1557930.8200000008</v>
      </c>
      <c r="BM49" s="16"/>
      <c r="BN49" s="7">
        <v>1796943.8699999969</v>
      </c>
      <c r="BO49" s="16"/>
      <c r="BP49" s="7">
        <v>-909325.14000000246</v>
      </c>
      <c r="BQ49" s="16"/>
      <c r="BR49" s="7">
        <v>-474948.10000000056</v>
      </c>
      <c r="BS49" s="16"/>
      <c r="BT49" s="7">
        <v>-298660.61</v>
      </c>
      <c r="BU49" s="16"/>
      <c r="BV49" s="7">
        <v>1337382.8500000043</v>
      </c>
      <c r="BW49" s="16"/>
      <c r="BX49" s="7">
        <v>-1751617.5800000015</v>
      </c>
      <c r="BY49" s="16"/>
      <c r="BZ49" s="7">
        <v>-1643631.1900000009</v>
      </c>
      <c r="CA49" s="16"/>
      <c r="CB49" s="7">
        <v>-781618.61000000057</v>
      </c>
      <c r="CC49" s="16"/>
      <c r="CD49" s="7">
        <v>-765999.10999999649</v>
      </c>
      <c r="CE49" s="16"/>
      <c r="CF49" s="7">
        <v>-1409124.3700000006</v>
      </c>
      <c r="CG49" s="16"/>
      <c r="CH49" s="7">
        <v>-3638914.8599999994</v>
      </c>
      <c r="CI49" s="16"/>
      <c r="CJ49" s="7">
        <v>-838559.31</v>
      </c>
      <c r="CK49" s="16"/>
      <c r="CL49" s="7">
        <v>1042486.5900000031</v>
      </c>
      <c r="CM49" s="16"/>
      <c r="CN49" s="7">
        <v>-792974.71154761605</v>
      </c>
      <c r="CO49" s="16"/>
      <c r="CP49" s="7">
        <v>-506652.20697159413</v>
      </c>
      <c r="CQ49" s="6"/>
      <c r="CR49" s="7">
        <v>-742152.96923441545</v>
      </c>
      <c r="CS49" s="16"/>
      <c r="CT49" s="7">
        <v>3292091.4594606524</v>
      </c>
      <c r="CU49" s="16"/>
      <c r="CV49" s="7">
        <v>273148.76892915962</v>
      </c>
      <c r="CW49" s="6"/>
      <c r="CX49" s="7">
        <v>-1261724.0088103898</v>
      </c>
      <c r="CY49" s="6"/>
      <c r="CZ49" s="7">
        <v>837987.47488789074</v>
      </c>
      <c r="DA49" s="8"/>
      <c r="DB49" s="7">
        <v>539523.65537330066</v>
      </c>
      <c r="DC49" s="16"/>
    </row>
    <row r="50" spans="2:107">
      <c r="B50" s="9"/>
      <c r="C50" s="9"/>
      <c r="D50" s="18"/>
      <c r="E50" s="9"/>
      <c r="F50" s="18"/>
      <c r="G50" s="9"/>
      <c r="H50" s="18"/>
      <c r="I50" s="9"/>
      <c r="J50" s="18"/>
      <c r="K50" s="9"/>
      <c r="L50" s="18"/>
      <c r="M50" s="9"/>
      <c r="N50" s="18"/>
      <c r="O50" s="9"/>
      <c r="P50" s="18"/>
      <c r="Q50" s="9"/>
      <c r="R50" s="18"/>
      <c r="S50" s="9"/>
      <c r="T50" s="18"/>
      <c r="U50" s="9"/>
      <c r="V50" s="18"/>
      <c r="W50" s="9"/>
      <c r="X50" s="18"/>
      <c r="Y50" s="9"/>
      <c r="Z50" s="18"/>
      <c r="AA50" s="9"/>
      <c r="AB50" s="18"/>
      <c r="AC50" s="9"/>
      <c r="AD50" s="18"/>
      <c r="AE50" s="9"/>
      <c r="AF50" s="18"/>
      <c r="AG50" s="9"/>
      <c r="AH50" s="18"/>
      <c r="AI50" s="9"/>
      <c r="AJ50" s="18"/>
      <c r="AK50" s="9"/>
      <c r="AL50" s="18"/>
      <c r="AM50" s="9"/>
      <c r="AN50" s="18"/>
      <c r="AO50" s="9"/>
      <c r="AP50" s="18"/>
      <c r="AQ50" s="9"/>
      <c r="AR50" s="18"/>
      <c r="AS50" s="9"/>
      <c r="AT50" s="18"/>
      <c r="AU50" s="9"/>
      <c r="AV50" s="18"/>
      <c r="AW50" s="9"/>
      <c r="AX50" s="18"/>
      <c r="AY50" s="9"/>
      <c r="AZ50" s="18"/>
      <c r="BA50" s="9"/>
      <c r="BB50" s="18"/>
      <c r="BC50" s="9"/>
      <c r="BD50" s="18"/>
      <c r="BE50" s="9"/>
      <c r="BF50" s="18"/>
      <c r="BG50" s="9"/>
      <c r="BH50" s="18"/>
      <c r="BI50" s="9"/>
      <c r="BJ50" s="18"/>
      <c r="BK50" s="9"/>
      <c r="BL50" s="18"/>
      <c r="BM50" s="9"/>
      <c r="BN50" s="18"/>
      <c r="BO50" s="9"/>
      <c r="BP50" s="18"/>
      <c r="BQ50" s="9"/>
      <c r="BR50" s="18"/>
      <c r="BS50" s="9"/>
      <c r="BT50" s="18"/>
      <c r="BU50" s="9"/>
      <c r="BV50" s="18"/>
      <c r="BW50" s="9"/>
      <c r="BX50" s="18"/>
      <c r="BY50" s="9"/>
      <c r="BZ50" s="18"/>
      <c r="CA50" s="9"/>
      <c r="CB50" s="18"/>
      <c r="CC50" s="9"/>
      <c r="CD50" s="18"/>
      <c r="CE50" s="9"/>
      <c r="CF50" s="18"/>
      <c r="CG50" s="9"/>
      <c r="CH50" s="18"/>
      <c r="CI50" s="9"/>
      <c r="CJ50" s="18"/>
      <c r="CK50" s="9"/>
      <c r="CL50" s="18"/>
      <c r="CM50" s="9"/>
      <c r="CN50" s="18"/>
      <c r="CO50" s="9"/>
      <c r="CP50" s="18"/>
      <c r="CQ50" s="19"/>
      <c r="CR50" s="18"/>
      <c r="CS50" s="9"/>
      <c r="CT50" s="18"/>
      <c r="CU50" s="9"/>
      <c r="CV50" s="18"/>
      <c r="CW50" s="19"/>
      <c r="CX50" s="18"/>
      <c r="CY50" s="19"/>
      <c r="CZ50" s="18"/>
      <c r="DA50" s="9"/>
      <c r="DB50" s="18"/>
      <c r="DC50" s="9"/>
    </row>
    <row r="51" spans="2:107">
      <c r="B51" s="9" t="s">
        <v>35</v>
      </c>
      <c r="C51" s="9"/>
      <c r="D51" s="20"/>
      <c r="E51" s="9"/>
      <c r="F51" s="20"/>
      <c r="G51" s="9"/>
      <c r="H51" s="20"/>
      <c r="I51" s="9"/>
      <c r="J51" s="20">
        <f>SUM(J44:J49)</f>
        <v>155125157.30000001</v>
      </c>
      <c r="K51" s="9"/>
      <c r="L51" s="20">
        <f>SUM(L44:L49)</f>
        <v>127351575.19999996</v>
      </c>
      <c r="M51" s="9"/>
      <c r="N51" s="20">
        <f>SUM(N44:N49)</f>
        <v>109451228.03</v>
      </c>
      <c r="O51" s="9"/>
      <c r="P51" s="20">
        <f>SUM(P44:P49)</f>
        <v>102562171.74000001</v>
      </c>
      <c r="Q51" s="9"/>
      <c r="R51" s="20">
        <f>SUM(R44:R49)</f>
        <v>99692105.280000001</v>
      </c>
      <c r="S51" s="9"/>
      <c r="T51" s="20">
        <f>SUM(T44:T49)</f>
        <v>75703404.940000027</v>
      </c>
      <c r="U51" s="9"/>
      <c r="V51" s="20">
        <f>SUM(V44:V49)</f>
        <v>66745297.720000014</v>
      </c>
      <c r="W51" s="9"/>
      <c r="X51" s="20">
        <f>SUM(X44:X49)</f>
        <v>61652007.050000004</v>
      </c>
      <c r="Y51" s="9"/>
      <c r="Z51" s="20">
        <f>SUM(Z44:Z49)</f>
        <v>66554865.519999996</v>
      </c>
      <c r="AA51" s="9"/>
      <c r="AB51" s="20">
        <f>SUM(AB44:AB49)</f>
        <v>54914027.38000001</v>
      </c>
      <c r="AC51" s="9"/>
      <c r="AD51" s="20">
        <f>SUM(AD44:AD49)</f>
        <v>53450794.039999992</v>
      </c>
      <c r="AE51" s="9"/>
      <c r="AF51" s="20">
        <f>SUM(AF44:AF49)</f>
        <v>54196978.32</v>
      </c>
      <c r="AG51" s="9"/>
      <c r="AH51" s="20">
        <f>SUM(AH44:AH49)</f>
        <v>58150226.109999999</v>
      </c>
      <c r="AI51" s="9"/>
      <c r="AJ51" s="20">
        <f>SUM(AJ44:AJ49)</f>
        <v>57266469.75</v>
      </c>
      <c r="AK51" s="9"/>
      <c r="AL51" s="20">
        <f>SUM(AL44:AL49)</f>
        <v>55581225.100000009</v>
      </c>
      <c r="AM51" s="9"/>
      <c r="AN51" s="20">
        <f>SUM(AN44:AN49)</f>
        <v>57358252.860000007</v>
      </c>
      <c r="AO51" s="9"/>
      <c r="AP51" s="20">
        <f>SUM(AP44:AP49)</f>
        <v>59845432.990000002</v>
      </c>
      <c r="AQ51" s="9"/>
      <c r="AR51" s="20">
        <f>SUM(AR44:AR49)</f>
        <v>56709438.010000005</v>
      </c>
      <c r="AS51" s="9"/>
      <c r="AT51" s="20">
        <f>SUM(AT44:AT49)</f>
        <v>54557885.289999992</v>
      </c>
      <c r="AU51" s="9"/>
      <c r="AV51" s="20">
        <f>SUM(AV44:AV49)</f>
        <v>54220111.910000011</v>
      </c>
      <c r="AW51" s="9"/>
      <c r="AX51" s="20">
        <f>SUM(AX44:AX49)</f>
        <v>55813051.800000004</v>
      </c>
      <c r="AY51" s="9"/>
      <c r="AZ51" s="20">
        <f>SUM(AZ44:AZ49)</f>
        <v>54376249.170000017</v>
      </c>
      <c r="BA51" s="9"/>
      <c r="BB51" s="20">
        <f>SUM(BB44:BB49)</f>
        <v>55117611.950000003</v>
      </c>
      <c r="BC51" s="9"/>
      <c r="BD51" s="20">
        <f>SUM(BD44:BD49)</f>
        <v>55381597.529999994</v>
      </c>
      <c r="BE51" s="9"/>
      <c r="BF51" s="20">
        <f>SUM(BF44:BF49)</f>
        <v>54662396.460000001</v>
      </c>
      <c r="BG51" s="9"/>
      <c r="BH51" s="20">
        <f>SUM(BH44:BH49)</f>
        <v>47459242.029999994</v>
      </c>
      <c r="BI51" s="9"/>
      <c r="BJ51" s="20">
        <f>SUM(BJ44:BJ49)</f>
        <v>56551351.5</v>
      </c>
      <c r="BK51" s="9"/>
      <c r="BL51" s="20">
        <f>SUM(BL44:BL49)</f>
        <v>57491747.230000004</v>
      </c>
      <c r="BM51" s="9"/>
      <c r="BN51" s="20">
        <f>SUM(BN44:BN49)</f>
        <v>57730760.280000001</v>
      </c>
      <c r="BO51" s="9"/>
      <c r="BP51" s="20">
        <f>SUM(BP44:BP49)</f>
        <v>55024491.270000003</v>
      </c>
      <c r="BQ51" s="9"/>
      <c r="BR51" s="20">
        <f>SUM(BR44:BR49)</f>
        <v>55458868.310000002</v>
      </c>
      <c r="BS51" s="9"/>
      <c r="BT51" s="20">
        <f>SUM(BT44:BT49)</f>
        <v>55635155.799999997</v>
      </c>
      <c r="BU51" s="9"/>
      <c r="BV51" s="20">
        <f>SUM(BV44:BV49)</f>
        <v>55933816.410000004</v>
      </c>
      <c r="BW51" s="9"/>
      <c r="BX51" s="20">
        <f>SUM(BX44:BX49)</f>
        <v>52839102.190000005</v>
      </c>
      <c r="BY51" s="9"/>
      <c r="BZ51" s="20">
        <f>SUM(BZ44:BZ49)</f>
        <v>52947088.580000006</v>
      </c>
      <c r="CA51" s="9"/>
      <c r="CB51" s="20">
        <f>SUM(CB44:CB49)</f>
        <v>53809101.160000004</v>
      </c>
      <c r="CC51" s="9"/>
      <c r="CD51" s="20">
        <f>SUM(CD44:CD49)</f>
        <v>54590719.770000003</v>
      </c>
      <c r="CE51" s="9"/>
      <c r="CF51" s="20">
        <f>SUM(CF44:CF49)</f>
        <v>53943270.010000005</v>
      </c>
      <c r="CG51" s="9"/>
      <c r="CH51" s="20">
        <f>SUM(CH44:CH49)</f>
        <v>51713479.520000003</v>
      </c>
      <c r="CI51" s="9"/>
      <c r="CJ51" s="20">
        <f>SUM(CJ44:CJ49)</f>
        <v>54513835.07</v>
      </c>
      <c r="CK51" s="9"/>
      <c r="CL51" s="20">
        <f>SUM(CL44:CL49)</f>
        <v>55352394.38000001</v>
      </c>
      <c r="CM51" s="9"/>
      <c r="CN51" s="20">
        <f>SUM(CN44:CN49)</f>
        <v>53666177.96996142</v>
      </c>
      <c r="CO51" s="9"/>
      <c r="CP51" s="20">
        <f>SUM(CP44:CP49)</f>
        <v>53952554.47453744</v>
      </c>
      <c r="CQ51" s="6"/>
      <c r="CR51" s="20">
        <f>SUM(CR44:CR49)</f>
        <v>53738127.712274626</v>
      </c>
      <c r="CS51" s="9"/>
      <c r="CT51" s="20">
        <f>SUM(CT44:CT49)</f>
        <v>54505280.68150904</v>
      </c>
      <c r="CU51" s="9"/>
      <c r="CV51" s="20">
        <f>SUM(CV44:CV49)</f>
        <v>21940098.232191969</v>
      </c>
      <c r="CW51" s="6"/>
      <c r="CX51" s="20">
        <f>SUM(CX44:CX49)</f>
        <v>20271645.650631484</v>
      </c>
      <c r="CY51" s="6"/>
      <c r="CZ51" s="20">
        <f>SUM(CZ44:CZ49)</f>
        <v>21512287.250899322</v>
      </c>
      <c r="DA51" s="9"/>
      <c r="DB51" s="20">
        <f>SUM(DB44:DB49)</f>
        <v>20426101.462008946</v>
      </c>
      <c r="DC51" s="9"/>
    </row>
    <row r="52" spans="2:107">
      <c r="B52" s="9"/>
      <c r="C52" s="9"/>
      <c r="D52" s="18"/>
      <c r="E52" s="9"/>
      <c r="F52" s="18"/>
      <c r="G52" s="9"/>
      <c r="H52" s="18"/>
      <c r="I52" s="9"/>
      <c r="J52" s="18"/>
      <c r="K52" s="9"/>
      <c r="L52" s="18"/>
      <c r="M52" s="9"/>
      <c r="N52" s="18"/>
      <c r="O52" s="9"/>
      <c r="P52" s="18"/>
      <c r="Q52" s="9"/>
      <c r="R52" s="18"/>
      <c r="S52" s="9"/>
      <c r="T52" s="18"/>
      <c r="U52" s="9"/>
      <c r="V52" s="18"/>
      <c r="W52" s="9"/>
      <c r="X52" s="18"/>
      <c r="Y52" s="9"/>
      <c r="Z52" s="18"/>
      <c r="AA52" s="9"/>
      <c r="AB52" s="18"/>
      <c r="AC52" s="9"/>
      <c r="AD52" s="18"/>
      <c r="AE52" s="9"/>
      <c r="AF52" s="18"/>
      <c r="AG52" s="9"/>
      <c r="AH52" s="18"/>
      <c r="AI52" s="9"/>
      <c r="AJ52" s="18"/>
      <c r="AK52" s="9"/>
      <c r="AL52" s="18"/>
      <c r="AM52" s="9"/>
      <c r="AN52" s="18"/>
      <c r="AO52" s="9"/>
      <c r="AP52" s="18"/>
      <c r="AQ52" s="9"/>
      <c r="AR52" s="18"/>
      <c r="AS52" s="9"/>
      <c r="AT52" s="18"/>
      <c r="AU52" s="9"/>
      <c r="AV52" s="18"/>
      <c r="AW52" s="9"/>
      <c r="AX52" s="18"/>
      <c r="AY52" s="9"/>
      <c r="AZ52" s="18"/>
      <c r="BA52" s="9"/>
      <c r="BB52" s="18"/>
      <c r="BC52" s="9"/>
      <c r="BD52" s="18"/>
      <c r="BE52" s="9"/>
      <c r="BF52" s="18"/>
      <c r="BG52" s="9"/>
      <c r="BH52" s="18"/>
      <c r="BI52" s="9"/>
      <c r="BJ52" s="18"/>
      <c r="BK52" s="9"/>
      <c r="BL52" s="18"/>
      <c r="BM52" s="9"/>
      <c r="BN52" s="18"/>
      <c r="BO52" s="9"/>
      <c r="BP52" s="18"/>
      <c r="BQ52" s="9"/>
      <c r="BR52" s="18"/>
      <c r="BS52" s="9"/>
      <c r="BT52" s="18"/>
      <c r="BU52" s="9"/>
      <c r="BV52" s="18"/>
      <c r="BW52" s="9"/>
      <c r="BX52" s="18"/>
      <c r="BY52" s="9"/>
      <c r="BZ52" s="18"/>
      <c r="CA52" s="9"/>
      <c r="CB52" s="18"/>
      <c r="CC52" s="9"/>
      <c r="CD52" s="18"/>
      <c r="CE52" s="9"/>
      <c r="CF52" s="18"/>
      <c r="CG52" s="9"/>
      <c r="CH52" s="18"/>
      <c r="CI52" s="9"/>
      <c r="CJ52" s="18"/>
      <c r="CK52" s="9"/>
      <c r="CL52" s="18"/>
      <c r="CM52" s="9"/>
      <c r="CN52" s="18"/>
      <c r="CO52" s="9"/>
      <c r="CP52" s="18"/>
      <c r="CQ52" s="8"/>
      <c r="CR52" s="18"/>
      <c r="CS52" s="9"/>
      <c r="CT52" s="18"/>
      <c r="CU52" s="9"/>
      <c r="CV52" s="18"/>
      <c r="CW52" s="8"/>
      <c r="CX52" s="18"/>
      <c r="CY52" s="8"/>
      <c r="CZ52" s="18"/>
      <c r="DA52" s="9"/>
      <c r="DB52" s="18"/>
      <c r="DC52" s="9"/>
    </row>
    <row r="53" spans="2:107">
      <c r="B53" s="9" t="s">
        <v>36</v>
      </c>
      <c r="C53" s="9"/>
      <c r="D53" s="7"/>
      <c r="E53" s="9"/>
      <c r="F53" s="7"/>
      <c r="G53" s="9"/>
      <c r="H53" s="7"/>
      <c r="I53" s="9"/>
      <c r="J53" s="7">
        <v>0</v>
      </c>
      <c r="K53" s="9"/>
      <c r="L53" s="7">
        <v>0</v>
      </c>
      <c r="M53" s="9"/>
      <c r="N53" s="7">
        <v>0</v>
      </c>
      <c r="O53" s="9"/>
      <c r="P53" s="7">
        <v>0</v>
      </c>
      <c r="Q53" s="9"/>
      <c r="R53" s="7">
        <v>0</v>
      </c>
      <c r="S53" s="9"/>
      <c r="T53" s="7">
        <v>0</v>
      </c>
      <c r="U53" s="9"/>
      <c r="V53" s="7">
        <v>0</v>
      </c>
      <c r="W53" s="9"/>
      <c r="X53" s="7">
        <v>0</v>
      </c>
      <c r="Y53" s="9"/>
      <c r="Z53" s="7">
        <v>0</v>
      </c>
      <c r="AA53" s="9"/>
      <c r="AB53" s="7">
        <v>0</v>
      </c>
      <c r="AC53" s="9"/>
      <c r="AD53" s="7">
        <v>0</v>
      </c>
      <c r="AE53" s="9"/>
      <c r="AF53" s="7">
        <v>0</v>
      </c>
      <c r="AG53" s="9"/>
      <c r="AH53" s="7">
        <v>0</v>
      </c>
      <c r="AI53" s="9"/>
      <c r="AJ53" s="7">
        <v>0</v>
      </c>
      <c r="AK53" s="9"/>
      <c r="AL53" s="7">
        <v>0</v>
      </c>
      <c r="AM53" s="9"/>
      <c r="AN53" s="7">
        <v>0</v>
      </c>
      <c r="AO53" s="9"/>
      <c r="AP53" s="7">
        <v>0</v>
      </c>
      <c r="AQ53" s="9"/>
      <c r="AR53" s="7">
        <v>0</v>
      </c>
      <c r="AS53" s="9"/>
      <c r="AT53" s="7">
        <v>0</v>
      </c>
      <c r="AU53" s="9"/>
      <c r="AV53" s="7">
        <v>0</v>
      </c>
      <c r="AW53" s="9"/>
      <c r="AX53" s="7">
        <v>0</v>
      </c>
      <c r="AY53" s="9"/>
      <c r="AZ53" s="7">
        <v>0</v>
      </c>
      <c r="BA53" s="9"/>
      <c r="BB53" s="7">
        <v>0</v>
      </c>
      <c r="BC53" s="9"/>
      <c r="BD53" s="7"/>
      <c r="BE53" s="9"/>
      <c r="BF53" s="7">
        <v>0</v>
      </c>
      <c r="BG53" s="9"/>
      <c r="BH53" s="7"/>
      <c r="BI53" s="9"/>
      <c r="BJ53" s="7"/>
      <c r="BK53" s="9"/>
      <c r="BL53" s="7"/>
      <c r="BM53" s="9"/>
      <c r="BN53" s="7"/>
      <c r="BO53" s="9"/>
      <c r="BP53" s="7"/>
      <c r="BQ53" s="9"/>
      <c r="BR53" s="7"/>
      <c r="BS53" s="9"/>
      <c r="BT53" s="7"/>
      <c r="BU53" s="9"/>
      <c r="BV53" s="7"/>
      <c r="BW53" s="9"/>
      <c r="BX53" s="7"/>
      <c r="BY53" s="9"/>
      <c r="BZ53" s="7"/>
      <c r="CA53" s="9"/>
      <c r="CB53" s="7"/>
      <c r="CC53" s="9"/>
      <c r="CD53" s="7"/>
      <c r="CE53" s="9"/>
      <c r="CF53" s="7"/>
      <c r="CG53" s="9"/>
      <c r="CH53" s="7"/>
      <c r="CI53" s="9"/>
      <c r="CJ53" s="7"/>
      <c r="CK53" s="9"/>
      <c r="CL53" s="7"/>
      <c r="CM53" s="9"/>
      <c r="CN53" s="7"/>
      <c r="CO53" s="9"/>
      <c r="CP53" s="7"/>
      <c r="CQ53" s="8"/>
      <c r="CR53" s="7"/>
      <c r="CS53" s="9"/>
      <c r="CT53" s="7"/>
      <c r="CU53" s="9"/>
      <c r="CV53" s="7"/>
      <c r="CW53" s="8"/>
      <c r="CX53" s="7"/>
      <c r="CY53" s="8"/>
      <c r="CZ53" s="7"/>
      <c r="DA53" s="9"/>
      <c r="DB53" s="7"/>
      <c r="DC53" s="9"/>
    </row>
    <row r="54" spans="2:107">
      <c r="B54" s="17"/>
      <c r="C54" s="17"/>
      <c r="D54" s="18"/>
      <c r="E54" s="17"/>
      <c r="F54" s="18"/>
      <c r="G54" s="17"/>
      <c r="H54" s="18"/>
      <c r="I54" s="17"/>
      <c r="J54" s="18"/>
      <c r="K54" s="17"/>
      <c r="L54" s="18"/>
      <c r="M54" s="17"/>
      <c r="N54" s="18"/>
      <c r="O54" s="17"/>
      <c r="P54" s="18"/>
      <c r="Q54" s="17"/>
      <c r="R54" s="18"/>
      <c r="S54" s="17"/>
      <c r="T54" s="18"/>
      <c r="U54" s="17"/>
      <c r="V54" s="18"/>
      <c r="W54" s="17"/>
      <c r="X54" s="18"/>
      <c r="Y54" s="17"/>
      <c r="Z54" s="18"/>
      <c r="AA54" s="17"/>
      <c r="AB54" s="18"/>
      <c r="AC54" s="17"/>
      <c r="AD54" s="18"/>
      <c r="AE54" s="17"/>
      <c r="AF54" s="18"/>
      <c r="AG54" s="17"/>
      <c r="AH54" s="18"/>
      <c r="AI54" s="17"/>
      <c r="AJ54" s="18"/>
      <c r="AK54" s="17"/>
      <c r="AL54" s="18"/>
      <c r="AM54" s="17"/>
      <c r="AN54" s="18"/>
      <c r="AO54" s="17"/>
      <c r="AP54" s="18"/>
      <c r="AQ54" s="17"/>
      <c r="AR54" s="18"/>
      <c r="AS54" s="17"/>
      <c r="AT54" s="18"/>
      <c r="AU54" s="17"/>
      <c r="AV54" s="18"/>
      <c r="AW54" s="17"/>
      <c r="AX54" s="18"/>
      <c r="AY54" s="17"/>
      <c r="AZ54" s="18"/>
      <c r="BA54" s="17"/>
      <c r="BB54" s="18"/>
      <c r="BC54" s="17"/>
      <c r="BD54" s="18"/>
      <c r="BE54" s="17"/>
      <c r="BF54" s="18"/>
      <c r="BG54" s="17"/>
      <c r="BH54" s="18"/>
      <c r="BI54" s="17"/>
      <c r="BJ54" s="18"/>
      <c r="BK54" s="17"/>
      <c r="BL54" s="18"/>
      <c r="BM54" s="17"/>
      <c r="BN54" s="18"/>
      <c r="BO54" s="17"/>
      <c r="BP54" s="18"/>
      <c r="BQ54" s="17"/>
      <c r="BR54" s="18"/>
      <c r="BS54" s="17"/>
      <c r="BT54" s="18"/>
      <c r="BU54" s="17"/>
      <c r="BV54" s="18"/>
      <c r="BW54" s="17"/>
      <c r="BX54" s="18"/>
      <c r="BY54" s="17"/>
      <c r="BZ54" s="18"/>
      <c r="CA54" s="17"/>
      <c r="CB54" s="18"/>
      <c r="CC54" s="17"/>
      <c r="CD54" s="18"/>
      <c r="CE54" s="17"/>
      <c r="CF54" s="18"/>
      <c r="CG54" s="17"/>
      <c r="CH54" s="18"/>
      <c r="CI54" s="17"/>
      <c r="CJ54" s="18"/>
      <c r="CK54" s="17"/>
      <c r="CL54" s="18"/>
      <c r="CM54" s="17"/>
      <c r="CN54" s="18"/>
      <c r="CO54" s="17"/>
      <c r="CP54" s="18"/>
      <c r="CQ54" s="8"/>
      <c r="CR54" s="18"/>
      <c r="CS54" s="17"/>
      <c r="CT54" s="18"/>
      <c r="CU54" s="17"/>
      <c r="CV54" s="18"/>
      <c r="CW54" s="8"/>
      <c r="CX54" s="18"/>
      <c r="CY54" s="8"/>
      <c r="CZ54" s="18"/>
      <c r="DA54" s="17"/>
      <c r="DB54" s="18"/>
      <c r="DC54" s="17"/>
    </row>
    <row r="55" spans="2:107">
      <c r="B55" s="6" t="s">
        <v>37</v>
      </c>
      <c r="C55" s="6"/>
      <c r="D55" s="21"/>
      <c r="E55" s="6"/>
      <c r="F55" s="21"/>
      <c r="G55" s="6"/>
      <c r="H55" s="21"/>
      <c r="I55" s="6"/>
      <c r="J55" s="21">
        <f>J51+J53</f>
        <v>155125157.30000001</v>
      </c>
      <c r="K55" s="6"/>
      <c r="L55" s="21">
        <f>L51+L53</f>
        <v>127351575.19999996</v>
      </c>
      <c r="M55" s="6"/>
      <c r="N55" s="21">
        <f>N51+N53</f>
        <v>109451228.03</v>
      </c>
      <c r="O55" s="6"/>
      <c r="P55" s="21">
        <f>P51+P53</f>
        <v>102562171.74000001</v>
      </c>
      <c r="Q55" s="6"/>
      <c r="R55" s="21">
        <f>R51+R53</f>
        <v>99692105.280000001</v>
      </c>
      <c r="S55" s="6"/>
      <c r="T55" s="21">
        <f>T51+T53</f>
        <v>75703404.940000027</v>
      </c>
      <c r="U55" s="6"/>
      <c r="V55" s="21">
        <f>V51+V53</f>
        <v>66745297.720000014</v>
      </c>
      <c r="W55" s="6"/>
      <c r="X55" s="21">
        <f>X51+X53</f>
        <v>61652007.050000004</v>
      </c>
      <c r="Y55" s="6"/>
      <c r="Z55" s="21">
        <f>Z51+Z53</f>
        <v>66554865.519999996</v>
      </c>
      <c r="AA55" s="6"/>
      <c r="AB55" s="21">
        <f>AB51+AB53</f>
        <v>54914027.38000001</v>
      </c>
      <c r="AC55" s="6"/>
      <c r="AD55" s="21">
        <f>AD51+AD53</f>
        <v>53450794.039999992</v>
      </c>
      <c r="AE55" s="6"/>
      <c r="AF55" s="21">
        <f>AF51+AF53</f>
        <v>54196978.32</v>
      </c>
      <c r="AG55" s="6"/>
      <c r="AH55" s="21">
        <f>AH51+AH53</f>
        <v>58150226.109999999</v>
      </c>
      <c r="AI55" s="6"/>
      <c r="AJ55" s="21">
        <f>AJ51+AJ53</f>
        <v>57266469.75</v>
      </c>
      <c r="AK55" s="6"/>
      <c r="AL55" s="21">
        <f>AL51+AL53</f>
        <v>55581225.100000009</v>
      </c>
      <c r="AM55" s="6"/>
      <c r="AN55" s="21">
        <f>AN51+AN53</f>
        <v>57358252.860000007</v>
      </c>
      <c r="AO55" s="6"/>
      <c r="AP55" s="21">
        <f>AP51+AP53</f>
        <v>59845432.990000002</v>
      </c>
      <c r="AQ55" s="6"/>
      <c r="AR55" s="21">
        <f>AR51+AR53</f>
        <v>56709438.010000005</v>
      </c>
      <c r="AS55" s="6"/>
      <c r="AT55" s="21">
        <f>AT51+AT53</f>
        <v>54557885.289999992</v>
      </c>
      <c r="AU55" s="6"/>
      <c r="AV55" s="21">
        <f>AV51+AV53</f>
        <v>54220111.910000011</v>
      </c>
      <c r="AW55" s="6"/>
      <c r="AX55" s="21">
        <f>AX51+AX53</f>
        <v>55813051.800000004</v>
      </c>
      <c r="AY55" s="6"/>
      <c r="AZ55" s="21">
        <f>AZ51+AZ53</f>
        <v>54376249.170000017</v>
      </c>
      <c r="BA55" s="6"/>
      <c r="BB55" s="21">
        <f>BB51+BB53</f>
        <v>55117611.950000003</v>
      </c>
      <c r="BC55" s="6"/>
      <c r="BD55" s="21">
        <f>BD51+BD53</f>
        <v>55381597.529999994</v>
      </c>
      <c r="BE55" s="6"/>
      <c r="BF55" s="21">
        <f>BF51+BF53</f>
        <v>54662396.460000001</v>
      </c>
      <c r="BG55" s="6"/>
      <c r="BH55" s="21">
        <f>BH51+BH53</f>
        <v>47459242.029999994</v>
      </c>
      <c r="BI55" s="6"/>
      <c r="BJ55" s="21">
        <f>BJ51+BJ53</f>
        <v>56551351.5</v>
      </c>
      <c r="BK55" s="6"/>
      <c r="BL55" s="21">
        <f>BL51+BL53</f>
        <v>57491747.230000004</v>
      </c>
      <c r="BM55" s="6"/>
      <c r="BN55" s="21">
        <f>BN51+BN53</f>
        <v>57730760.280000001</v>
      </c>
      <c r="BO55" s="6"/>
      <c r="BP55" s="21">
        <f>BP51+BP53</f>
        <v>55024491.270000003</v>
      </c>
      <c r="BQ55" s="6"/>
      <c r="BR55" s="21">
        <f>BR51+BR53</f>
        <v>55458868.310000002</v>
      </c>
      <c r="BS55" s="6"/>
      <c r="BT55" s="21">
        <f>BT51+BT53</f>
        <v>55635155.799999997</v>
      </c>
      <c r="BU55" s="6"/>
      <c r="BV55" s="21">
        <f>BV51+BV53</f>
        <v>55933816.410000004</v>
      </c>
      <c r="BW55" s="6"/>
      <c r="BX55" s="21">
        <f>BX51+BX53</f>
        <v>52839102.190000005</v>
      </c>
      <c r="BY55" s="6"/>
      <c r="BZ55" s="21">
        <f>BZ51+BZ53</f>
        <v>52947088.580000006</v>
      </c>
      <c r="CA55" s="6"/>
      <c r="CB55" s="21">
        <f>CB51+CB53</f>
        <v>53809101.160000004</v>
      </c>
      <c r="CC55" s="6"/>
      <c r="CD55" s="21">
        <f>CD51+CD53</f>
        <v>54590719.770000003</v>
      </c>
      <c r="CE55" s="6"/>
      <c r="CF55" s="21">
        <f>CF51+CF53</f>
        <v>53943270.010000005</v>
      </c>
      <c r="CG55" s="6"/>
      <c r="CH55" s="21">
        <f>CH51+CH53</f>
        <v>51713479.520000003</v>
      </c>
      <c r="CI55" s="6"/>
      <c r="CJ55" s="21">
        <f>CJ51+CJ53</f>
        <v>54513835.07</v>
      </c>
      <c r="CK55" s="6"/>
      <c r="CL55" s="21">
        <f>CL51+CL53</f>
        <v>55352394.38000001</v>
      </c>
      <c r="CM55" s="6"/>
      <c r="CN55" s="21">
        <f>CN51+CN53</f>
        <v>53666177.96996142</v>
      </c>
      <c r="CO55" s="6"/>
      <c r="CP55" s="21">
        <f>CP51+CP53</f>
        <v>53952554.47453744</v>
      </c>
      <c r="CQ55" s="8"/>
      <c r="CR55" s="21">
        <f>CR51+CR53</f>
        <v>53738127.712274626</v>
      </c>
      <c r="CS55" s="6"/>
      <c r="CT55" s="21">
        <f>CT51+CT53</f>
        <v>54505280.68150904</v>
      </c>
      <c r="CU55" s="6"/>
      <c r="CV55" s="21">
        <f>CV51+CV53</f>
        <v>21940098.232191969</v>
      </c>
      <c r="CW55" s="8"/>
      <c r="CX55" s="21">
        <f>CX51+CX53</f>
        <v>20271645.650631484</v>
      </c>
      <c r="CY55" s="8"/>
      <c r="CZ55" s="21">
        <f>CZ51+CZ53</f>
        <v>21512287.250899322</v>
      </c>
      <c r="DA55" s="6"/>
      <c r="DB55" s="21">
        <f>DB51+DB53</f>
        <v>20426101.462008946</v>
      </c>
      <c r="DC55" s="6"/>
    </row>
    <row r="56" spans="2:107">
      <c r="B56" s="19"/>
      <c r="C56" s="19"/>
      <c r="D56" s="18"/>
      <c r="E56" s="19"/>
      <c r="F56" s="18"/>
      <c r="G56" s="19"/>
      <c r="H56" s="18"/>
      <c r="I56" s="19"/>
      <c r="J56" s="18"/>
      <c r="K56" s="19"/>
      <c r="L56" s="18"/>
      <c r="M56" s="19"/>
      <c r="N56" s="18"/>
      <c r="O56" s="19"/>
      <c r="P56" s="18"/>
      <c r="Q56" s="19"/>
      <c r="R56" s="18"/>
      <c r="S56" s="19"/>
      <c r="T56" s="18"/>
      <c r="U56" s="19"/>
      <c r="V56" s="18"/>
      <c r="W56" s="19"/>
      <c r="X56" s="18"/>
      <c r="Y56" s="19"/>
      <c r="Z56" s="18"/>
      <c r="AA56" s="19"/>
      <c r="AB56" s="18"/>
      <c r="AC56" s="19"/>
      <c r="AD56" s="18"/>
      <c r="AE56" s="19"/>
      <c r="AF56" s="18"/>
      <c r="AG56" s="19"/>
      <c r="AH56" s="18"/>
      <c r="AI56" s="19"/>
      <c r="AJ56" s="18"/>
      <c r="AK56" s="19"/>
      <c r="AL56" s="18"/>
      <c r="AM56" s="19"/>
      <c r="AN56" s="18"/>
      <c r="AO56" s="19"/>
      <c r="AP56" s="18"/>
      <c r="AQ56" s="19"/>
      <c r="AR56" s="18"/>
      <c r="AS56" s="19"/>
      <c r="AT56" s="18"/>
      <c r="AU56" s="19"/>
      <c r="AV56" s="18"/>
      <c r="AW56" s="19"/>
      <c r="AX56" s="18"/>
      <c r="AY56" s="19"/>
      <c r="AZ56" s="18"/>
      <c r="BA56" s="19"/>
      <c r="BB56" s="18"/>
      <c r="BC56" s="19"/>
      <c r="BD56" s="18"/>
      <c r="BE56" s="19"/>
      <c r="BF56" s="18"/>
      <c r="BG56" s="19"/>
      <c r="BH56" s="18"/>
      <c r="BI56" s="19"/>
      <c r="BJ56" s="18"/>
      <c r="BK56" s="19"/>
      <c r="BL56" s="18"/>
      <c r="BM56" s="19"/>
      <c r="BN56" s="18"/>
      <c r="BO56" s="19"/>
      <c r="BP56" s="18"/>
      <c r="BQ56" s="19"/>
      <c r="BR56" s="18"/>
      <c r="BS56" s="19"/>
      <c r="BT56" s="18"/>
      <c r="BU56" s="19"/>
      <c r="BV56" s="18"/>
      <c r="BW56" s="19"/>
      <c r="BX56" s="18"/>
      <c r="BY56" s="19"/>
      <c r="BZ56" s="18"/>
      <c r="CA56" s="19"/>
      <c r="CB56" s="18"/>
      <c r="CC56" s="19"/>
      <c r="CD56" s="18"/>
      <c r="CE56" s="19"/>
      <c r="CF56" s="18"/>
      <c r="CG56" s="19"/>
      <c r="CH56" s="18"/>
      <c r="CI56" s="19"/>
      <c r="CJ56" s="18"/>
      <c r="CK56" s="19"/>
      <c r="CL56" s="18"/>
      <c r="CM56" s="19"/>
      <c r="CN56" s="18"/>
      <c r="CO56" s="19"/>
      <c r="CP56" s="18"/>
      <c r="CQ56" s="8"/>
      <c r="CR56" s="18"/>
      <c r="CS56" s="19"/>
      <c r="CT56" s="18"/>
      <c r="CU56" s="19"/>
      <c r="CV56" s="18"/>
      <c r="CW56" s="8"/>
      <c r="CX56" s="18"/>
      <c r="CY56" s="8"/>
      <c r="CZ56" s="18"/>
      <c r="DA56" s="19"/>
      <c r="DB56" s="18"/>
      <c r="DC56" s="19"/>
    </row>
    <row r="57" spans="2:107">
      <c r="B57" s="6" t="s">
        <v>38</v>
      </c>
      <c r="C57" s="6"/>
      <c r="D57" s="22"/>
      <c r="E57" s="6"/>
      <c r="F57" s="22"/>
      <c r="G57" s="6"/>
      <c r="H57" s="22"/>
      <c r="I57" s="6"/>
      <c r="J57" s="22"/>
      <c r="K57" s="6"/>
      <c r="L57" s="22"/>
      <c r="M57" s="6"/>
      <c r="N57" s="22"/>
      <c r="O57" s="6"/>
      <c r="P57" s="22"/>
      <c r="Q57" s="6"/>
      <c r="R57" s="22"/>
      <c r="S57" s="6"/>
      <c r="T57" s="22"/>
      <c r="U57" s="6"/>
      <c r="V57" s="22"/>
      <c r="W57" s="6"/>
      <c r="X57" s="22"/>
      <c r="Y57" s="6"/>
      <c r="Z57" s="22"/>
      <c r="AA57" s="6"/>
      <c r="AB57" s="22"/>
      <c r="AC57" s="6"/>
      <c r="AD57" s="22"/>
      <c r="AE57" s="6"/>
      <c r="AF57" s="22"/>
      <c r="AG57" s="6"/>
      <c r="AH57" s="22"/>
      <c r="AI57" s="6"/>
      <c r="AJ57" s="22"/>
      <c r="AK57" s="6"/>
      <c r="AL57" s="22"/>
      <c r="AM57" s="6"/>
      <c r="AN57" s="22"/>
      <c r="AO57" s="6"/>
      <c r="AP57" s="22"/>
      <c r="AQ57" s="6"/>
      <c r="AR57" s="22"/>
      <c r="AS57" s="6"/>
      <c r="AT57" s="22"/>
      <c r="AU57" s="6"/>
      <c r="AV57" s="22"/>
      <c r="AW57" s="6"/>
      <c r="AX57" s="22"/>
      <c r="AY57" s="6"/>
      <c r="AZ57" s="22"/>
      <c r="BA57" s="6"/>
      <c r="BB57" s="22"/>
      <c r="BC57" s="6"/>
      <c r="BD57" s="22"/>
      <c r="BE57" s="6"/>
      <c r="BF57" s="22"/>
      <c r="BG57" s="6"/>
      <c r="BH57" s="22"/>
      <c r="BI57" s="6"/>
      <c r="BJ57" s="22"/>
      <c r="BK57" s="6"/>
      <c r="BL57" s="22"/>
      <c r="BM57" s="6"/>
      <c r="BN57" s="22"/>
      <c r="BO57" s="6"/>
      <c r="BP57" s="22"/>
      <c r="BQ57" s="6"/>
      <c r="BR57" s="22"/>
      <c r="BS57" s="6"/>
      <c r="BT57" s="22"/>
      <c r="BU57" s="6"/>
      <c r="BV57" s="22"/>
      <c r="BW57" s="6"/>
      <c r="BX57" s="22"/>
      <c r="BY57" s="6"/>
      <c r="BZ57" s="22"/>
      <c r="CA57" s="6"/>
      <c r="CB57" s="22"/>
      <c r="CC57" s="6"/>
      <c r="CD57" s="22"/>
      <c r="CE57" s="6"/>
      <c r="CF57" s="22"/>
      <c r="CG57" s="6"/>
      <c r="CH57" s="22"/>
      <c r="CI57" s="6"/>
      <c r="CJ57" s="22"/>
      <c r="CK57" s="6"/>
      <c r="CL57" s="22"/>
      <c r="CM57" s="6"/>
      <c r="CN57" s="22"/>
      <c r="CO57" s="6"/>
      <c r="CP57" s="22"/>
      <c r="CQ57" s="8"/>
      <c r="CR57" s="22"/>
      <c r="CS57" s="6"/>
      <c r="CT57" s="22"/>
      <c r="CU57" s="6"/>
      <c r="CV57" s="22"/>
      <c r="CW57" s="8"/>
      <c r="CX57" s="22"/>
      <c r="CY57" s="8"/>
      <c r="CZ57" s="22"/>
      <c r="DA57" s="6"/>
      <c r="DB57" s="22"/>
      <c r="DC57" s="6"/>
    </row>
    <row r="58" spans="2:107">
      <c r="B58" s="8" t="s">
        <v>39</v>
      </c>
      <c r="C58" s="8"/>
      <c r="D58" s="7"/>
      <c r="E58" s="8"/>
      <c r="F58" s="7"/>
      <c r="G58" s="8"/>
      <c r="H58" s="7"/>
      <c r="I58" s="8"/>
      <c r="J58" s="7">
        <v>0</v>
      </c>
      <c r="K58" s="8"/>
      <c r="L58" s="7">
        <v>0</v>
      </c>
      <c r="M58" s="8"/>
      <c r="N58" s="7">
        <v>0</v>
      </c>
      <c r="O58" s="8"/>
      <c r="P58" s="7">
        <v>0</v>
      </c>
      <c r="Q58" s="8"/>
      <c r="R58" s="7">
        <v>0</v>
      </c>
      <c r="S58" s="8"/>
      <c r="T58" s="7">
        <v>0</v>
      </c>
      <c r="U58" s="8"/>
      <c r="V58" s="7">
        <v>0</v>
      </c>
      <c r="W58" s="8"/>
      <c r="X58" s="7">
        <v>0</v>
      </c>
      <c r="Y58" s="8"/>
      <c r="Z58" s="7">
        <v>0</v>
      </c>
      <c r="AA58" s="8"/>
      <c r="AB58" s="7">
        <v>0</v>
      </c>
      <c r="AC58" s="8"/>
      <c r="AD58" s="7">
        <v>0</v>
      </c>
      <c r="AE58" s="8"/>
      <c r="AF58" s="7">
        <v>0</v>
      </c>
      <c r="AG58" s="8"/>
      <c r="AH58" s="7">
        <v>0</v>
      </c>
      <c r="AI58" s="8"/>
      <c r="AJ58" s="7">
        <v>0</v>
      </c>
      <c r="AK58" s="8"/>
      <c r="AL58" s="7">
        <v>0</v>
      </c>
      <c r="AM58" s="8"/>
      <c r="AN58" s="7">
        <v>0</v>
      </c>
      <c r="AO58" s="8"/>
      <c r="AP58" s="7">
        <v>0</v>
      </c>
      <c r="AQ58" s="8"/>
      <c r="AR58" s="7">
        <v>0</v>
      </c>
      <c r="AS58" s="8"/>
      <c r="AT58" s="7">
        <v>0</v>
      </c>
      <c r="AU58" s="8"/>
      <c r="AV58" s="7">
        <v>0</v>
      </c>
      <c r="AW58" s="8"/>
      <c r="AX58" s="7">
        <v>0</v>
      </c>
      <c r="AY58" s="8"/>
      <c r="AZ58" s="7">
        <v>0</v>
      </c>
      <c r="BA58" s="8"/>
      <c r="BB58" s="7">
        <v>0</v>
      </c>
      <c r="BC58" s="8"/>
      <c r="BD58" s="7">
        <v>0</v>
      </c>
      <c r="BE58" s="8"/>
      <c r="BF58" s="7">
        <v>0</v>
      </c>
      <c r="BG58" s="8"/>
      <c r="BH58" s="7">
        <v>0</v>
      </c>
      <c r="BI58" s="8"/>
      <c r="BJ58" s="7">
        <v>0</v>
      </c>
      <c r="BK58" s="8"/>
      <c r="BL58" s="7">
        <v>0</v>
      </c>
      <c r="BM58" s="8"/>
      <c r="BN58" s="7">
        <v>359002.43</v>
      </c>
      <c r="BO58" s="8"/>
      <c r="BP58" s="7">
        <v>713726.21</v>
      </c>
      <c r="BQ58" s="8"/>
      <c r="BR58" s="7">
        <v>1064221.32</v>
      </c>
      <c r="BS58" s="8"/>
      <c r="BT58" s="7">
        <v>1410538.16</v>
      </c>
      <c r="BU58" s="8"/>
      <c r="BV58" s="7">
        <v>1752726.55</v>
      </c>
      <c r="BW58" s="8"/>
      <c r="BX58" s="7">
        <v>2090835.69</v>
      </c>
      <c r="BY58" s="8"/>
      <c r="BZ58" s="7">
        <v>2424914.25</v>
      </c>
      <c r="CA58" s="8"/>
      <c r="CB58" s="7">
        <v>2755010.23</v>
      </c>
      <c r="CC58" s="8"/>
      <c r="CD58" s="7">
        <v>3081171.13</v>
      </c>
      <c r="CE58" s="8"/>
      <c r="CF58" s="7">
        <v>3403443.85</v>
      </c>
      <c r="CG58" s="8"/>
      <c r="CH58" s="7">
        <v>4294833.12</v>
      </c>
      <c r="CI58" s="8"/>
      <c r="CJ58" s="7">
        <v>5174338.82</v>
      </c>
      <c r="CK58" s="8"/>
      <c r="CL58" s="7">
        <v>6042120.2300000004</v>
      </c>
      <c r="CM58" s="8"/>
      <c r="CN58" s="7">
        <v>6898334.5800000001</v>
      </c>
      <c r="CO58" s="8"/>
      <c r="CP58" s="7">
        <v>7743137.0199999996</v>
      </c>
      <c r="CQ58" s="8"/>
      <c r="CR58" s="7">
        <v>8576680.5999999996</v>
      </c>
      <c r="CS58" s="8"/>
      <c r="CT58" s="7">
        <v>6377374.5599999996</v>
      </c>
      <c r="CU58" s="8"/>
      <c r="CV58" s="7">
        <v>4438231.47</v>
      </c>
      <c r="CW58" s="8"/>
      <c r="CX58" s="7">
        <v>4966551.6900000004</v>
      </c>
      <c r="CY58" s="8"/>
      <c r="CZ58" s="7">
        <v>5913390.8799999999</v>
      </c>
      <c r="DA58" s="8"/>
      <c r="DB58" s="7">
        <v>7770307.8300000001</v>
      </c>
      <c r="DC58" s="8"/>
    </row>
    <row r="59" spans="2:107">
      <c r="B59" s="23" t="s">
        <v>40</v>
      </c>
      <c r="C59" s="23"/>
      <c r="D59" s="7"/>
      <c r="E59" s="23"/>
      <c r="F59" s="7"/>
      <c r="G59" s="23"/>
      <c r="H59" s="7"/>
      <c r="I59" s="23"/>
      <c r="J59" s="7">
        <v>8450</v>
      </c>
      <c r="K59" s="23"/>
      <c r="L59" s="7">
        <v>8450</v>
      </c>
      <c r="M59" s="23"/>
      <c r="N59" s="7">
        <v>8450</v>
      </c>
      <c r="O59" s="23"/>
      <c r="P59" s="7">
        <v>16900</v>
      </c>
      <c r="Q59" s="23"/>
      <c r="R59" s="7">
        <v>16900</v>
      </c>
      <c r="S59" s="23"/>
      <c r="T59" s="7">
        <v>16900</v>
      </c>
      <c r="U59" s="23"/>
      <c r="V59" s="7">
        <v>158037.64000000001</v>
      </c>
      <c r="W59" s="23"/>
      <c r="X59" s="7">
        <v>166487.64000000001</v>
      </c>
      <c r="Y59" s="23"/>
      <c r="Z59" s="7">
        <v>166487.64000000001</v>
      </c>
      <c r="AA59" s="23"/>
      <c r="AB59" s="7">
        <v>141137.64000000001</v>
      </c>
      <c r="AC59" s="23"/>
      <c r="AD59" s="7">
        <v>282275.28000000003</v>
      </c>
      <c r="AE59" s="23"/>
      <c r="AF59" s="7">
        <v>282275.28000000003</v>
      </c>
      <c r="AG59" s="23"/>
      <c r="AH59" s="7">
        <v>282275.28000000003</v>
      </c>
      <c r="AI59" s="23"/>
      <c r="AJ59" s="7">
        <v>282275.28000000003</v>
      </c>
      <c r="AK59" s="23"/>
      <c r="AL59" s="7">
        <v>423412.92</v>
      </c>
      <c r="AM59" s="23"/>
      <c r="AN59" s="7">
        <v>423412.92</v>
      </c>
      <c r="AO59" s="23"/>
      <c r="AP59" s="7">
        <v>423412.92</v>
      </c>
      <c r="AQ59" s="23"/>
      <c r="AR59" s="7">
        <v>423412.92</v>
      </c>
      <c r="AS59" s="23"/>
      <c r="AT59" s="7">
        <v>0</v>
      </c>
      <c r="AU59" s="23"/>
      <c r="AV59" s="7">
        <v>0</v>
      </c>
      <c r="AW59" s="23"/>
      <c r="AX59" s="7">
        <v>0</v>
      </c>
      <c r="AY59" s="23"/>
      <c r="AZ59" s="7">
        <v>0</v>
      </c>
      <c r="BA59" s="23"/>
      <c r="BB59" s="7">
        <v>0</v>
      </c>
      <c r="BC59" s="23"/>
      <c r="BD59" s="7">
        <v>0</v>
      </c>
      <c r="BE59" s="23"/>
      <c r="BF59" s="7">
        <v>92090.1</v>
      </c>
      <c r="BG59" s="23"/>
      <c r="BH59" s="7">
        <v>184180.2</v>
      </c>
      <c r="BI59" s="23"/>
      <c r="BJ59" s="7">
        <v>276270.28000000003</v>
      </c>
      <c r="BK59" s="23"/>
      <c r="BL59" s="7">
        <v>368360.38</v>
      </c>
      <c r="BM59" s="23"/>
      <c r="BN59" s="7">
        <v>460450.51</v>
      </c>
      <c r="BO59" s="23"/>
      <c r="BP59" s="7">
        <v>552540.64</v>
      </c>
      <c r="BQ59" s="23"/>
      <c r="BR59" s="7">
        <v>644630.77</v>
      </c>
      <c r="BS59" s="23"/>
      <c r="BT59" s="7">
        <v>736720.9</v>
      </c>
      <c r="BU59" s="23"/>
      <c r="BV59" s="7">
        <v>828811.03</v>
      </c>
      <c r="BW59" s="23"/>
      <c r="BX59" s="7">
        <v>929995.47</v>
      </c>
      <c r="BY59" s="23"/>
      <c r="BZ59" s="7">
        <v>1049369.1599999999</v>
      </c>
      <c r="CA59" s="23"/>
      <c r="CB59" s="7">
        <v>1168742.8500000001</v>
      </c>
      <c r="CC59" s="23"/>
      <c r="CD59" s="7">
        <v>1196026.4099999999</v>
      </c>
      <c r="CE59" s="23"/>
      <c r="CF59" s="7">
        <v>1223309.97</v>
      </c>
      <c r="CG59" s="23"/>
      <c r="CH59" s="7">
        <v>239150.38</v>
      </c>
      <c r="CI59" s="23"/>
      <c r="CJ59" s="7">
        <v>366149.65</v>
      </c>
      <c r="CK59" s="23"/>
      <c r="CL59" s="7">
        <v>493148.92000000004</v>
      </c>
      <c r="CM59" s="23"/>
      <c r="CN59" s="7">
        <v>615140.47521035466</v>
      </c>
      <c r="CO59" s="23"/>
      <c r="CP59" s="7">
        <v>735679.09796134243</v>
      </c>
      <c r="CQ59" s="9"/>
      <c r="CR59" s="7">
        <v>854787.07596328238</v>
      </c>
      <c r="CS59" s="23"/>
      <c r="CT59" s="7">
        <v>972486.35702616593</v>
      </c>
      <c r="CU59" s="23"/>
      <c r="CV59" s="7">
        <v>752301.52225419844</v>
      </c>
      <c r="CW59" s="9"/>
      <c r="CX59" s="7">
        <v>839964.35121127288</v>
      </c>
      <c r="CY59" s="9"/>
      <c r="CZ59" s="7">
        <v>1011276.0813058824</v>
      </c>
      <c r="DA59" s="8"/>
      <c r="DB59" s="7">
        <v>1338410.5402480094</v>
      </c>
      <c r="DC59" s="23"/>
    </row>
    <row r="60" spans="2:107" hidden="1">
      <c r="B60" s="8" t="s">
        <v>41</v>
      </c>
      <c r="C60" s="8"/>
      <c r="D60" s="7"/>
      <c r="E60" s="8"/>
      <c r="F60" s="7"/>
      <c r="G60" s="8"/>
      <c r="H60" s="7"/>
      <c r="I60" s="8"/>
      <c r="J60" s="7"/>
      <c r="K60" s="8"/>
      <c r="L60" s="7"/>
      <c r="M60" s="8"/>
      <c r="N60" s="7"/>
      <c r="O60" s="8"/>
      <c r="P60" s="7"/>
      <c r="Q60" s="8"/>
      <c r="R60" s="7"/>
      <c r="S60" s="8"/>
      <c r="T60" s="7"/>
      <c r="U60" s="8"/>
      <c r="V60" s="7"/>
      <c r="W60" s="8"/>
      <c r="X60" s="7"/>
      <c r="Y60" s="8"/>
      <c r="Z60" s="7"/>
      <c r="AA60" s="8"/>
      <c r="AB60" s="7"/>
      <c r="AC60" s="8"/>
      <c r="AD60" s="7"/>
      <c r="AE60" s="8"/>
      <c r="AF60" s="7"/>
      <c r="AG60" s="8"/>
      <c r="AH60" s="7"/>
      <c r="AI60" s="8"/>
      <c r="AJ60" s="7"/>
      <c r="AK60" s="8"/>
      <c r="AL60" s="7"/>
      <c r="AM60" s="8"/>
      <c r="AN60" s="7"/>
      <c r="AO60" s="8"/>
      <c r="AP60" s="7"/>
      <c r="AQ60" s="8"/>
      <c r="AR60" s="7">
        <v>4746381.68</v>
      </c>
      <c r="AS60" s="8"/>
      <c r="AT60" s="7">
        <v>1058967.7</v>
      </c>
      <c r="AU60" s="8"/>
      <c r="AV60" s="7">
        <v>935342.96</v>
      </c>
      <c r="AW60" s="8"/>
      <c r="AX60" s="7">
        <v>688953.24</v>
      </c>
      <c r="AY60" s="8"/>
      <c r="AZ60" s="7">
        <v>33370.949999999997</v>
      </c>
      <c r="BA60" s="8"/>
      <c r="BB60" s="7">
        <v>132480.26</v>
      </c>
      <c r="BC60" s="8"/>
      <c r="BD60" s="7">
        <v>155467.88</v>
      </c>
      <c r="BE60" s="8"/>
      <c r="BF60" s="7">
        <f>BF62</f>
        <v>180814.74</v>
      </c>
      <c r="BG60" s="8"/>
      <c r="BH60" s="7">
        <v>64867.27</v>
      </c>
      <c r="BI60" s="8"/>
      <c r="BJ60" s="7">
        <v>76734.899999999994</v>
      </c>
      <c r="BK60" s="8"/>
      <c r="BL60" s="7">
        <v>180457.66</v>
      </c>
      <c r="BM60" s="8"/>
      <c r="BN60" s="7">
        <v>285198.51</v>
      </c>
      <c r="BO60" s="8"/>
      <c r="BP60" s="7">
        <v>562902.51</v>
      </c>
      <c r="BQ60" s="8"/>
      <c r="BR60" s="7">
        <f>SUM(BR61:BR63)</f>
        <v>715578.8</v>
      </c>
      <c r="BS60" s="8"/>
      <c r="BT60" s="7">
        <f>SUM(BT61:BT63)</f>
        <v>829275.58</v>
      </c>
      <c r="BU60" s="8"/>
      <c r="BV60" s="7">
        <f>SUM(BV61:BV63)</f>
        <v>979506.36</v>
      </c>
      <c r="BW60" s="8"/>
      <c r="BX60" s="7">
        <v>1078049.6499999999</v>
      </c>
      <c r="BY60" s="8"/>
      <c r="BZ60" s="7">
        <f>SUM(BZ61:BZ63)</f>
        <v>1098522.02</v>
      </c>
      <c r="CA60" s="8"/>
      <c r="CB60" s="7">
        <f>SUM(CB61:CB63)</f>
        <v>1144535</v>
      </c>
      <c r="CC60" s="8"/>
      <c r="CD60" s="7">
        <f>SUM(CD61:CD63)</f>
        <v>1331890.4099999999</v>
      </c>
      <c r="CE60" s="8"/>
      <c r="CF60" s="7">
        <v>1192331.44</v>
      </c>
      <c r="CG60" s="8"/>
      <c r="CH60" s="7">
        <v>1401368.09</v>
      </c>
      <c r="CI60" s="8"/>
      <c r="CJ60" s="7">
        <v>1621011.73</v>
      </c>
      <c r="CK60" s="8"/>
      <c r="CL60" s="7">
        <v>1581357.07</v>
      </c>
      <c r="CM60" s="8"/>
      <c r="CN60" s="7">
        <v>1792038.81</v>
      </c>
      <c r="CO60" s="8"/>
      <c r="CP60" s="7">
        <v>1736597.13</v>
      </c>
      <c r="CQ60" s="6"/>
      <c r="CR60" s="7">
        <v>1542137.38</v>
      </c>
      <c r="CS60" s="8"/>
      <c r="CT60" s="7">
        <v>1567170.61</v>
      </c>
      <c r="CU60" s="8"/>
      <c r="CV60" s="7">
        <v>783393.81</v>
      </c>
      <c r="CW60" s="6"/>
      <c r="CX60" s="7">
        <v>986766.22</v>
      </c>
      <c r="CY60" s="6"/>
      <c r="CZ60" s="7">
        <v>1043774.69</v>
      </c>
      <c r="DA60" s="8"/>
      <c r="DB60" s="7">
        <v>1606332.3099999998</v>
      </c>
      <c r="DC60" s="8"/>
    </row>
    <row r="61" spans="2:107">
      <c r="B61" s="23" t="s">
        <v>42</v>
      </c>
      <c r="C61" s="24"/>
      <c r="D61" s="7"/>
      <c r="E61" s="24"/>
      <c r="F61" s="7"/>
      <c r="G61" s="24"/>
      <c r="H61" s="7"/>
      <c r="I61" s="24"/>
      <c r="J61" s="7">
        <v>0</v>
      </c>
      <c r="K61" s="24"/>
      <c r="L61" s="7">
        <v>0</v>
      </c>
      <c r="M61" s="24"/>
      <c r="N61" s="7">
        <v>0</v>
      </c>
      <c r="O61" s="24"/>
      <c r="P61" s="7">
        <v>0</v>
      </c>
      <c r="Q61" s="24"/>
      <c r="R61" s="7">
        <v>0</v>
      </c>
      <c r="S61" s="24"/>
      <c r="T61" s="7">
        <v>0</v>
      </c>
      <c r="U61" s="24"/>
      <c r="V61" s="7">
        <v>0</v>
      </c>
      <c r="W61" s="24"/>
      <c r="X61" s="7">
        <v>0</v>
      </c>
      <c r="Y61" s="24"/>
      <c r="Z61" s="7">
        <v>0</v>
      </c>
      <c r="AA61" s="24"/>
      <c r="AB61" s="7">
        <v>0</v>
      </c>
      <c r="AC61" s="24"/>
      <c r="AD61" s="7">
        <v>0</v>
      </c>
      <c r="AE61" s="24"/>
      <c r="AF61" s="7">
        <v>0</v>
      </c>
      <c r="AG61" s="24"/>
      <c r="AH61" s="7">
        <v>0</v>
      </c>
      <c r="AI61" s="24"/>
      <c r="AJ61" s="7">
        <v>0</v>
      </c>
      <c r="AK61" s="24"/>
      <c r="AL61" s="7">
        <v>0</v>
      </c>
      <c r="AM61" s="24"/>
      <c r="AN61" s="7">
        <v>0</v>
      </c>
      <c r="AO61" s="24"/>
      <c r="AP61" s="7">
        <v>0</v>
      </c>
      <c r="AQ61" s="24"/>
      <c r="AR61" s="7">
        <v>0</v>
      </c>
      <c r="AS61" s="24"/>
      <c r="AT61" s="7">
        <v>0</v>
      </c>
      <c r="AU61" s="24"/>
      <c r="AV61" s="7">
        <v>0</v>
      </c>
      <c r="AW61" s="24"/>
      <c r="AX61" s="7">
        <v>0</v>
      </c>
      <c r="AY61" s="24"/>
      <c r="AZ61" s="7">
        <v>0</v>
      </c>
      <c r="BA61" s="24"/>
      <c r="BB61" s="7">
        <v>0</v>
      </c>
      <c r="BC61" s="24"/>
      <c r="BD61" s="7">
        <v>0</v>
      </c>
      <c r="BE61" s="24"/>
      <c r="BF61" s="7"/>
      <c r="BG61" s="24"/>
      <c r="BH61" s="7">
        <v>0</v>
      </c>
      <c r="BI61" s="24"/>
      <c r="BJ61" s="7">
        <v>0</v>
      </c>
      <c r="BK61" s="24"/>
      <c r="BL61" s="7">
        <v>0</v>
      </c>
      <c r="BM61" s="24"/>
      <c r="BN61" s="7">
        <v>0</v>
      </c>
      <c r="BO61" s="24"/>
      <c r="BP61" s="7">
        <v>0</v>
      </c>
      <c r="BQ61" s="24"/>
      <c r="BR61" s="7">
        <v>0</v>
      </c>
      <c r="BS61" s="24"/>
      <c r="BT61" s="7">
        <v>0</v>
      </c>
      <c r="BU61" s="24"/>
      <c r="BV61" s="7">
        <v>0</v>
      </c>
      <c r="BW61" s="24"/>
      <c r="BX61" s="7">
        <v>0</v>
      </c>
      <c r="BY61" s="24"/>
      <c r="BZ61" s="7">
        <v>0</v>
      </c>
      <c r="CA61" s="24"/>
      <c r="CB61" s="7">
        <v>0</v>
      </c>
      <c r="CC61" s="24"/>
      <c r="CD61" s="7">
        <v>0</v>
      </c>
      <c r="CE61" s="24"/>
      <c r="CF61" s="7">
        <v>0</v>
      </c>
      <c r="CG61" s="24"/>
      <c r="CH61" s="7">
        <v>0</v>
      </c>
      <c r="CI61" s="24"/>
      <c r="CJ61" s="7">
        <v>0</v>
      </c>
      <c r="CK61" s="24"/>
      <c r="CL61" s="7">
        <v>0</v>
      </c>
      <c r="CM61" s="24"/>
      <c r="CN61" s="7">
        <v>0</v>
      </c>
      <c r="CO61" s="24"/>
      <c r="CP61" s="7">
        <v>0</v>
      </c>
      <c r="CQ61" s="8"/>
      <c r="CR61" s="7">
        <v>0</v>
      </c>
      <c r="CS61" s="24"/>
      <c r="CT61" s="7">
        <v>0</v>
      </c>
      <c r="CU61" s="24"/>
      <c r="CV61" s="7">
        <v>0</v>
      </c>
      <c r="CW61" s="8"/>
      <c r="CX61" s="7">
        <v>0</v>
      </c>
      <c r="CY61" s="8"/>
      <c r="CZ61" s="7">
        <v>0</v>
      </c>
      <c r="DA61" s="8"/>
      <c r="DB61" s="7">
        <v>0</v>
      </c>
      <c r="DC61" s="24"/>
    </row>
    <row r="62" spans="2:107">
      <c r="B62" s="23" t="s">
        <v>292</v>
      </c>
      <c r="C62" s="24"/>
      <c r="D62" s="7"/>
      <c r="E62" s="24"/>
      <c r="F62" s="7"/>
      <c r="G62" s="24"/>
      <c r="H62" s="7"/>
      <c r="I62" s="24"/>
      <c r="J62" s="7">
        <v>11416232.92</v>
      </c>
      <c r="K62" s="24"/>
      <c r="L62" s="7">
        <v>14620645.810000001</v>
      </c>
      <c r="M62" s="24"/>
      <c r="N62" s="7">
        <v>9510232.6400000006</v>
      </c>
      <c r="O62" s="24"/>
      <c r="P62" s="7">
        <v>9774389.8200000003</v>
      </c>
      <c r="Q62" s="24"/>
      <c r="R62" s="7">
        <v>7470309.21</v>
      </c>
      <c r="S62" s="24"/>
      <c r="T62" s="7">
        <v>10144561.050000001</v>
      </c>
      <c r="U62" s="24"/>
      <c r="V62" s="7">
        <v>9839184.6400000006</v>
      </c>
      <c r="W62" s="24"/>
      <c r="X62" s="7">
        <v>4479034.6500000004</v>
      </c>
      <c r="Y62" s="24"/>
      <c r="Z62" s="7">
        <v>4718224.41</v>
      </c>
      <c r="AA62" s="24"/>
      <c r="AB62" s="7">
        <v>8073749.1699999999</v>
      </c>
      <c r="AC62" s="24"/>
      <c r="AD62" s="7">
        <v>10271036.99</v>
      </c>
      <c r="AE62" s="24"/>
      <c r="AF62" s="7">
        <v>8653115.2100000009</v>
      </c>
      <c r="AG62" s="24"/>
      <c r="AH62" s="7">
        <v>8953159.1500000004</v>
      </c>
      <c r="AI62" s="24"/>
      <c r="AJ62" s="7">
        <v>5547112.5199999996</v>
      </c>
      <c r="AK62" s="24"/>
      <c r="AL62" s="7">
        <v>4224039.46</v>
      </c>
      <c r="AM62" s="24"/>
      <c r="AN62" s="7">
        <v>4403301.43</v>
      </c>
      <c r="AO62" s="24"/>
      <c r="AP62" s="7">
        <v>4353251.0599999996</v>
      </c>
      <c r="AQ62" s="24"/>
      <c r="AR62" s="7">
        <v>4746381.68</v>
      </c>
      <c r="AS62" s="24"/>
      <c r="AT62" s="7">
        <v>1058967.7</v>
      </c>
      <c r="AU62" s="24"/>
      <c r="AV62" s="7">
        <v>935342.96</v>
      </c>
      <c r="AW62" s="24"/>
      <c r="AX62" s="7">
        <v>688953.24</v>
      </c>
      <c r="AY62" s="24"/>
      <c r="AZ62" s="7">
        <v>33370.949999999997</v>
      </c>
      <c r="BA62" s="24"/>
      <c r="BB62" s="7">
        <v>132480.26</v>
      </c>
      <c r="BC62" s="24"/>
      <c r="BD62" s="7">
        <v>155467.88</v>
      </c>
      <c r="BE62" s="24"/>
      <c r="BF62" s="7">
        <v>180814.74</v>
      </c>
      <c r="BG62" s="24"/>
      <c r="BH62" s="7">
        <v>64867.27</v>
      </c>
      <c r="BI62" s="24"/>
      <c r="BJ62" s="7">
        <v>76734.899999999994</v>
      </c>
      <c r="BK62" s="24"/>
      <c r="BL62" s="7">
        <v>180457.66</v>
      </c>
      <c r="BM62" s="24"/>
      <c r="BN62" s="7">
        <v>285198.51</v>
      </c>
      <c r="BO62" s="24"/>
      <c r="BP62" s="7">
        <v>562902.51</v>
      </c>
      <c r="BQ62" s="24"/>
      <c r="BR62" s="7">
        <v>715578.8</v>
      </c>
      <c r="BS62" s="24"/>
      <c r="BT62" s="7">
        <v>829275.58</v>
      </c>
      <c r="BU62" s="24"/>
      <c r="BV62" s="7">
        <v>979506.36</v>
      </c>
      <c r="BW62" s="24"/>
      <c r="BX62" s="7">
        <v>1078049.6499999999</v>
      </c>
      <c r="BY62" s="24"/>
      <c r="BZ62" s="7">
        <v>1098522.02</v>
      </c>
      <c r="CA62" s="24"/>
      <c r="CB62" s="7">
        <v>1144535</v>
      </c>
      <c r="CC62" s="24"/>
      <c r="CD62" s="7">
        <v>1331890.4099999999</v>
      </c>
      <c r="CE62" s="24"/>
      <c r="CF62" s="7">
        <v>1192331.44</v>
      </c>
      <c r="CG62" s="24"/>
      <c r="CH62" s="7">
        <v>1401368.09</v>
      </c>
      <c r="CI62" s="24"/>
      <c r="CJ62" s="7">
        <v>1621011.73</v>
      </c>
      <c r="CK62" s="24"/>
      <c r="CL62" s="7">
        <v>1581357.07</v>
      </c>
      <c r="CM62" s="24"/>
      <c r="CN62" s="7">
        <v>1792038.81</v>
      </c>
      <c r="CO62" s="24"/>
      <c r="CP62" s="7">
        <v>1736597.13</v>
      </c>
      <c r="CQ62" s="6"/>
      <c r="CR62" s="7">
        <v>1542137.38</v>
      </c>
      <c r="CS62" s="24"/>
      <c r="CT62" s="7">
        <v>1567170.61</v>
      </c>
      <c r="CU62" s="24"/>
      <c r="CV62" s="7">
        <v>783393.81</v>
      </c>
      <c r="CW62" s="6"/>
      <c r="CX62" s="7">
        <v>986766.22</v>
      </c>
      <c r="CY62" s="6"/>
      <c r="CZ62" s="7">
        <v>1043774.69</v>
      </c>
      <c r="DA62" s="8"/>
      <c r="DB62" s="7">
        <v>1606332.3099999998</v>
      </c>
      <c r="DC62" s="24"/>
    </row>
    <row r="63" spans="2:107">
      <c r="B63" s="23" t="s">
        <v>43</v>
      </c>
      <c r="C63" s="24"/>
      <c r="D63" s="7"/>
      <c r="E63" s="24"/>
      <c r="F63" s="7"/>
      <c r="G63" s="24"/>
      <c r="H63" s="7"/>
      <c r="I63" s="24"/>
      <c r="J63" s="7">
        <v>0</v>
      </c>
      <c r="K63" s="24"/>
      <c r="L63" s="7">
        <v>0</v>
      </c>
      <c r="M63" s="24"/>
      <c r="N63" s="7">
        <v>0</v>
      </c>
      <c r="O63" s="24"/>
      <c r="P63" s="7">
        <v>0</v>
      </c>
      <c r="Q63" s="24"/>
      <c r="R63" s="7">
        <v>0</v>
      </c>
      <c r="S63" s="24"/>
      <c r="T63" s="7">
        <v>0</v>
      </c>
      <c r="U63" s="24"/>
      <c r="V63" s="7">
        <v>0</v>
      </c>
      <c r="W63" s="24"/>
      <c r="X63" s="7">
        <v>0</v>
      </c>
      <c r="Y63" s="24"/>
      <c r="Z63" s="7">
        <v>0</v>
      </c>
      <c r="AA63" s="24"/>
      <c r="AB63" s="7">
        <v>0</v>
      </c>
      <c r="AC63" s="24"/>
      <c r="AD63" s="7">
        <v>0</v>
      </c>
      <c r="AE63" s="24"/>
      <c r="AF63" s="7">
        <v>0</v>
      </c>
      <c r="AG63" s="24"/>
      <c r="AH63" s="7">
        <v>0</v>
      </c>
      <c r="AI63" s="24"/>
      <c r="AJ63" s="7">
        <v>0</v>
      </c>
      <c r="AK63" s="24"/>
      <c r="AL63" s="7">
        <v>0</v>
      </c>
      <c r="AM63" s="24"/>
      <c r="AN63" s="7">
        <v>0</v>
      </c>
      <c r="AO63" s="24"/>
      <c r="AP63" s="7">
        <v>0</v>
      </c>
      <c r="AQ63" s="24"/>
      <c r="AR63" s="7">
        <v>0</v>
      </c>
      <c r="AS63" s="24"/>
      <c r="AT63" s="7">
        <v>0</v>
      </c>
      <c r="AU63" s="24"/>
      <c r="AV63" s="7">
        <v>0</v>
      </c>
      <c r="AW63" s="24"/>
      <c r="AX63" s="7">
        <v>0</v>
      </c>
      <c r="AY63" s="24"/>
      <c r="AZ63" s="7">
        <v>0</v>
      </c>
      <c r="BA63" s="24"/>
      <c r="BB63" s="7">
        <v>0</v>
      </c>
      <c r="BC63" s="24"/>
      <c r="BD63" s="7">
        <v>0</v>
      </c>
      <c r="BE63" s="24"/>
      <c r="BF63" s="7"/>
      <c r="BG63" s="24"/>
      <c r="BH63" s="7">
        <v>0</v>
      </c>
      <c r="BI63" s="24"/>
      <c r="BJ63" s="7">
        <v>0</v>
      </c>
      <c r="BK63" s="24"/>
      <c r="BL63" s="7">
        <v>0</v>
      </c>
      <c r="BM63" s="24"/>
      <c r="BN63" s="7">
        <v>0</v>
      </c>
      <c r="BO63" s="24"/>
      <c r="BP63" s="7">
        <v>0</v>
      </c>
      <c r="BQ63" s="24"/>
      <c r="BR63" s="7">
        <v>0</v>
      </c>
      <c r="BS63" s="24"/>
      <c r="BT63" s="7">
        <v>0</v>
      </c>
      <c r="BU63" s="24"/>
      <c r="BV63" s="7">
        <v>0</v>
      </c>
      <c r="BW63" s="24"/>
      <c r="BX63" s="7">
        <v>0</v>
      </c>
      <c r="BY63" s="24"/>
      <c r="BZ63" s="7">
        <v>0</v>
      </c>
      <c r="CA63" s="24"/>
      <c r="CB63" s="7">
        <v>0</v>
      </c>
      <c r="CC63" s="24"/>
      <c r="CD63" s="7">
        <v>0</v>
      </c>
      <c r="CE63" s="24"/>
      <c r="CF63" s="7">
        <v>0</v>
      </c>
      <c r="CG63" s="24"/>
      <c r="CH63" s="7">
        <v>0</v>
      </c>
      <c r="CI63" s="24"/>
      <c r="CJ63" s="7">
        <v>0</v>
      </c>
      <c r="CK63" s="24"/>
      <c r="CL63" s="7">
        <v>0</v>
      </c>
      <c r="CM63" s="24"/>
      <c r="CN63" s="7">
        <v>0</v>
      </c>
      <c r="CO63" s="24"/>
      <c r="CP63" s="7">
        <v>0</v>
      </c>
      <c r="CQ63" s="8"/>
      <c r="CR63" s="7">
        <v>0</v>
      </c>
      <c r="CS63" s="24"/>
      <c r="CT63" s="7">
        <v>0</v>
      </c>
      <c r="CU63" s="24"/>
      <c r="CV63" s="7">
        <v>0</v>
      </c>
      <c r="CW63" s="8"/>
      <c r="CX63" s="7">
        <v>0</v>
      </c>
      <c r="CY63" s="8"/>
      <c r="CZ63" s="7">
        <v>0</v>
      </c>
      <c r="DA63" s="8"/>
      <c r="DB63" s="7">
        <v>0</v>
      </c>
      <c r="DC63" s="24"/>
    </row>
    <row r="64" spans="2:107">
      <c r="B64" s="8" t="s">
        <v>44</v>
      </c>
      <c r="C64" s="8"/>
      <c r="D64" s="7"/>
      <c r="E64" s="8"/>
      <c r="F64" s="7"/>
      <c r="G64" s="8"/>
      <c r="H64" s="7"/>
      <c r="I64" s="8"/>
      <c r="J64" s="7">
        <v>168216.93</v>
      </c>
      <c r="K64" s="8"/>
      <c r="L64" s="7">
        <v>168216.93</v>
      </c>
      <c r="M64" s="8"/>
      <c r="N64" s="7">
        <v>110503.72</v>
      </c>
      <c r="O64" s="8"/>
      <c r="P64" s="7">
        <v>110503.72</v>
      </c>
      <c r="Q64" s="8"/>
      <c r="R64" s="7">
        <v>110503.72</v>
      </c>
      <c r="S64" s="8"/>
      <c r="T64" s="7">
        <v>110503.72</v>
      </c>
      <c r="U64" s="8"/>
      <c r="V64" s="7">
        <v>71667.509999999995</v>
      </c>
      <c r="W64" s="8"/>
      <c r="X64" s="7">
        <v>71667.509999999995</v>
      </c>
      <c r="Y64" s="8"/>
      <c r="Z64" s="7">
        <v>71667.509999999995</v>
      </c>
      <c r="AA64" s="8"/>
      <c r="AB64" s="7">
        <v>71667.509999999995</v>
      </c>
      <c r="AC64" s="8"/>
      <c r="AD64" s="7">
        <v>109494.56</v>
      </c>
      <c r="AE64" s="8"/>
      <c r="AF64" s="7">
        <v>109494.56</v>
      </c>
      <c r="AG64" s="8"/>
      <c r="AH64" s="7">
        <v>109494.56</v>
      </c>
      <c r="AI64" s="8"/>
      <c r="AJ64" s="7">
        <v>109494.56</v>
      </c>
      <c r="AK64" s="8"/>
      <c r="AL64" s="7">
        <v>151734.12</v>
      </c>
      <c r="AM64" s="8"/>
      <c r="AN64" s="7">
        <v>151734.12</v>
      </c>
      <c r="AO64" s="8"/>
      <c r="AP64" s="7">
        <v>151734.12</v>
      </c>
      <c r="AQ64" s="8"/>
      <c r="AR64" s="7">
        <v>151734.12</v>
      </c>
      <c r="AS64" s="8"/>
      <c r="AT64" s="7">
        <v>135116.37</v>
      </c>
      <c r="AU64" s="8"/>
      <c r="AV64" s="7">
        <v>135116.37</v>
      </c>
      <c r="AW64" s="8"/>
      <c r="AX64" s="7">
        <v>135116.37</v>
      </c>
      <c r="AY64" s="8"/>
      <c r="AZ64" s="7">
        <v>135116.37</v>
      </c>
      <c r="BA64" s="8"/>
      <c r="BB64" s="7">
        <v>119638.1</v>
      </c>
      <c r="BC64" s="8"/>
      <c r="BD64" s="7">
        <v>119638.1</v>
      </c>
      <c r="BE64" s="8"/>
      <c r="BF64" s="7">
        <v>119638.1</v>
      </c>
      <c r="BG64" s="8"/>
      <c r="BH64" s="7">
        <v>119638.1</v>
      </c>
      <c r="BI64" s="8"/>
      <c r="BJ64" s="7">
        <v>75585.47</v>
      </c>
      <c r="BK64" s="8"/>
      <c r="BL64" s="7">
        <v>75585.47</v>
      </c>
      <c r="BM64" s="8"/>
      <c r="BN64" s="7">
        <v>75585.47</v>
      </c>
      <c r="BO64" s="8"/>
      <c r="BP64" s="7">
        <v>75585.47</v>
      </c>
      <c r="BQ64" s="8"/>
      <c r="BR64" s="7">
        <v>75585.47</v>
      </c>
      <c r="BS64" s="8"/>
      <c r="BT64" s="7">
        <v>75585.47</v>
      </c>
      <c r="BU64" s="8"/>
      <c r="BV64" s="7">
        <v>75585.47</v>
      </c>
      <c r="BW64" s="8"/>
      <c r="BX64" s="7">
        <v>55807.519999999997</v>
      </c>
      <c r="BY64" s="8"/>
      <c r="BZ64" s="7">
        <v>55807.519999999997</v>
      </c>
      <c r="CA64" s="8"/>
      <c r="CB64" s="7">
        <v>55807.519999999997</v>
      </c>
      <c r="CC64" s="8"/>
      <c r="CD64" s="7">
        <v>55807.519999999997</v>
      </c>
      <c r="CE64" s="8"/>
      <c r="CF64" s="7">
        <v>50767.43</v>
      </c>
      <c r="CG64" s="8"/>
      <c r="CH64" s="7">
        <v>50767.43</v>
      </c>
      <c r="CI64" s="8"/>
      <c r="CJ64" s="7">
        <v>50767.43</v>
      </c>
      <c r="CK64" s="8"/>
      <c r="CL64" s="7">
        <v>50767.43</v>
      </c>
      <c r="CM64" s="8"/>
      <c r="CN64" s="7">
        <v>32271.69</v>
      </c>
      <c r="CO64" s="8"/>
      <c r="CP64" s="7">
        <v>32271.69</v>
      </c>
      <c r="CQ64" s="8"/>
      <c r="CR64" s="7">
        <v>32271.69</v>
      </c>
      <c r="CS64" s="8"/>
      <c r="CT64" s="7">
        <v>32271.69</v>
      </c>
      <c r="CU64" s="8"/>
      <c r="CV64" s="7">
        <v>26272.58</v>
      </c>
      <c r="CW64" s="8"/>
      <c r="CX64" s="7">
        <v>26272.58</v>
      </c>
      <c r="CY64" s="8"/>
      <c r="CZ64" s="7">
        <v>26272.58</v>
      </c>
      <c r="DA64" s="8"/>
      <c r="DB64" s="7">
        <v>21903.99</v>
      </c>
      <c r="DC64" s="8"/>
    </row>
    <row r="65" spans="2:107">
      <c r="B65" s="8" t="s">
        <v>45</v>
      </c>
      <c r="C65" s="8"/>
      <c r="D65" s="7"/>
      <c r="E65" s="8"/>
      <c r="F65" s="7"/>
      <c r="G65" s="8"/>
      <c r="H65" s="7"/>
      <c r="I65" s="8"/>
      <c r="J65" s="7">
        <v>2837064.88</v>
      </c>
      <c r="K65" s="8"/>
      <c r="L65" s="7">
        <v>3152850.62</v>
      </c>
      <c r="M65" s="8"/>
      <c r="N65" s="7">
        <v>2109700.35</v>
      </c>
      <c r="O65" s="8"/>
      <c r="P65" s="7">
        <v>2130130.52</v>
      </c>
      <c r="Q65" s="8"/>
      <c r="R65" s="7">
        <v>2091715.3</v>
      </c>
      <c r="S65" s="8"/>
      <c r="T65" s="7">
        <v>2034131.3</v>
      </c>
      <c r="U65" s="8"/>
      <c r="V65" s="7">
        <v>2529093</v>
      </c>
      <c r="W65" s="8"/>
      <c r="X65" s="7">
        <v>2529093</v>
      </c>
      <c r="Y65" s="8"/>
      <c r="Z65" s="7">
        <v>2529093</v>
      </c>
      <c r="AA65" s="8"/>
      <c r="AB65" s="7">
        <v>2240845</v>
      </c>
      <c r="AC65" s="8"/>
      <c r="AD65" s="7">
        <v>841290.5</v>
      </c>
      <c r="AE65" s="8"/>
      <c r="AF65" s="7">
        <v>841290.5</v>
      </c>
      <c r="AG65" s="8"/>
      <c r="AH65" s="7">
        <v>841290.5</v>
      </c>
      <c r="AI65" s="8"/>
      <c r="AJ65" s="7">
        <v>689222.5</v>
      </c>
      <c r="AK65" s="8"/>
      <c r="AL65" s="7">
        <v>811806.49</v>
      </c>
      <c r="AM65" s="8"/>
      <c r="AN65" s="7">
        <v>1256062.49</v>
      </c>
      <c r="AO65" s="8"/>
      <c r="AP65" s="7">
        <v>1256062.49</v>
      </c>
      <c r="AQ65" s="8"/>
      <c r="AR65" s="7">
        <v>1256062.49</v>
      </c>
      <c r="AS65" s="8"/>
      <c r="AT65" s="7">
        <v>664876.77</v>
      </c>
      <c r="AU65" s="8"/>
      <c r="AV65" s="7">
        <v>1008786.77</v>
      </c>
      <c r="AW65" s="8"/>
      <c r="AX65" s="7">
        <v>1407217.77</v>
      </c>
      <c r="AY65" s="8"/>
      <c r="AZ65" s="7">
        <v>1209834.77</v>
      </c>
      <c r="BA65" s="8"/>
      <c r="BB65" s="7">
        <v>0</v>
      </c>
      <c r="BC65" s="8"/>
      <c r="BD65" s="7">
        <v>0</v>
      </c>
      <c r="BE65" s="8"/>
      <c r="BF65" s="7"/>
      <c r="BG65" s="8"/>
      <c r="BH65" s="7">
        <v>0</v>
      </c>
      <c r="BI65" s="8"/>
      <c r="BJ65" s="7">
        <v>0</v>
      </c>
      <c r="BK65" s="8"/>
      <c r="BL65" s="7">
        <v>0</v>
      </c>
      <c r="BM65" s="8"/>
      <c r="BN65" s="7">
        <v>0</v>
      </c>
      <c r="BO65" s="8"/>
      <c r="BP65" s="7">
        <v>0</v>
      </c>
      <c r="BQ65" s="8"/>
      <c r="BR65" s="7">
        <v>0</v>
      </c>
      <c r="BS65" s="8"/>
      <c r="BT65" s="7">
        <v>0</v>
      </c>
      <c r="BU65" s="8"/>
      <c r="BV65" s="7">
        <v>0</v>
      </c>
      <c r="BW65" s="8"/>
      <c r="BX65" s="7">
        <v>0</v>
      </c>
      <c r="BY65" s="8"/>
      <c r="BZ65" s="7">
        <v>0</v>
      </c>
      <c r="CA65" s="8"/>
      <c r="CB65" s="7">
        <v>0</v>
      </c>
      <c r="CC65" s="8"/>
      <c r="CD65" s="7">
        <v>0</v>
      </c>
      <c r="CE65" s="8"/>
      <c r="CF65" s="7">
        <v>0</v>
      </c>
      <c r="CG65" s="8"/>
      <c r="CH65" s="7">
        <v>0</v>
      </c>
      <c r="CI65" s="8"/>
      <c r="CJ65" s="7">
        <v>0</v>
      </c>
      <c r="CK65" s="8"/>
      <c r="CL65" s="7">
        <v>0</v>
      </c>
      <c r="CM65" s="8"/>
      <c r="CN65" s="7">
        <v>0</v>
      </c>
      <c r="CO65" s="8"/>
      <c r="CP65" s="7">
        <v>0</v>
      </c>
      <c r="CQ65" s="8"/>
      <c r="CR65" s="7">
        <v>0</v>
      </c>
      <c r="CS65" s="8"/>
      <c r="CT65" s="7">
        <v>0</v>
      </c>
      <c r="CU65" s="8"/>
      <c r="CV65" s="7">
        <v>0</v>
      </c>
      <c r="CW65" s="8"/>
      <c r="CX65" s="7">
        <v>0</v>
      </c>
      <c r="CY65" s="8"/>
      <c r="CZ65" s="7">
        <v>0</v>
      </c>
      <c r="DA65" s="8"/>
      <c r="DB65" s="7">
        <v>0</v>
      </c>
      <c r="DC65" s="8"/>
    </row>
    <row r="66" spans="2:107">
      <c r="B66" s="8" t="s">
        <v>46</v>
      </c>
      <c r="C66" s="8"/>
      <c r="D66" s="7"/>
      <c r="E66" s="8"/>
      <c r="F66" s="7"/>
      <c r="G66" s="8"/>
      <c r="H66" s="7"/>
      <c r="I66" s="8"/>
      <c r="J66" s="7">
        <v>0</v>
      </c>
      <c r="K66" s="8"/>
      <c r="L66" s="7">
        <v>0</v>
      </c>
      <c r="M66" s="8"/>
      <c r="N66" s="7">
        <v>0</v>
      </c>
      <c r="O66" s="8"/>
      <c r="P66" s="7">
        <v>0</v>
      </c>
      <c r="Q66" s="8"/>
      <c r="R66" s="7">
        <v>0</v>
      </c>
      <c r="S66" s="8"/>
      <c r="T66" s="7">
        <v>0</v>
      </c>
      <c r="U66" s="8"/>
      <c r="V66" s="7">
        <v>0</v>
      </c>
      <c r="W66" s="8"/>
      <c r="X66" s="7">
        <v>0</v>
      </c>
      <c r="Y66" s="8"/>
      <c r="Z66" s="7">
        <v>0</v>
      </c>
      <c r="AA66" s="8"/>
      <c r="AB66" s="7">
        <v>0</v>
      </c>
      <c r="AC66" s="8"/>
      <c r="AD66" s="7">
        <v>0</v>
      </c>
      <c r="AE66" s="8"/>
      <c r="AF66" s="7">
        <v>0</v>
      </c>
      <c r="AG66" s="8"/>
      <c r="AH66" s="7">
        <v>0</v>
      </c>
      <c r="AI66" s="8"/>
      <c r="AJ66" s="7">
        <v>0</v>
      </c>
      <c r="AK66" s="8"/>
      <c r="AL66" s="7">
        <v>0</v>
      </c>
      <c r="AM66" s="8"/>
      <c r="AN66" s="7">
        <v>0</v>
      </c>
      <c r="AO66" s="8"/>
      <c r="AP66" s="7">
        <v>0</v>
      </c>
      <c r="AQ66" s="8"/>
      <c r="AR66" s="7">
        <v>0</v>
      </c>
      <c r="AS66" s="8"/>
      <c r="AT66" s="7">
        <v>0</v>
      </c>
      <c r="AU66" s="8"/>
      <c r="AV66" s="7">
        <v>0</v>
      </c>
      <c r="AW66" s="8"/>
      <c r="AX66" s="7">
        <v>0</v>
      </c>
      <c r="AY66" s="8"/>
      <c r="AZ66" s="7">
        <v>0</v>
      </c>
      <c r="BA66" s="8"/>
      <c r="BB66" s="7">
        <v>0</v>
      </c>
      <c r="BC66" s="8"/>
      <c r="BD66" s="7">
        <v>0</v>
      </c>
      <c r="BE66" s="8"/>
      <c r="BF66" s="7"/>
      <c r="BG66" s="8"/>
      <c r="BH66" s="7">
        <v>0</v>
      </c>
      <c r="BI66" s="8"/>
      <c r="BJ66" s="7">
        <v>0</v>
      </c>
      <c r="BK66" s="8"/>
      <c r="BL66" s="7">
        <v>0</v>
      </c>
      <c r="BM66" s="8"/>
      <c r="BN66" s="7">
        <v>0</v>
      </c>
      <c r="BO66" s="8"/>
      <c r="BP66" s="7">
        <v>0</v>
      </c>
      <c r="BQ66" s="8"/>
      <c r="BR66" s="7">
        <v>0</v>
      </c>
      <c r="BS66" s="8"/>
      <c r="BT66" s="7">
        <v>0</v>
      </c>
      <c r="BU66" s="8"/>
      <c r="BV66" s="7">
        <v>0</v>
      </c>
      <c r="BW66" s="8"/>
      <c r="BX66" s="7">
        <v>0</v>
      </c>
      <c r="BY66" s="8"/>
      <c r="BZ66" s="7">
        <v>0</v>
      </c>
      <c r="CA66" s="8"/>
      <c r="CB66" s="7">
        <v>0</v>
      </c>
      <c r="CC66" s="8"/>
      <c r="CD66" s="7">
        <v>0</v>
      </c>
      <c r="CE66" s="8"/>
      <c r="CF66" s="7">
        <v>0</v>
      </c>
      <c r="CG66" s="8"/>
      <c r="CH66" s="7">
        <v>0</v>
      </c>
      <c r="CI66" s="8"/>
      <c r="CJ66" s="7">
        <v>0</v>
      </c>
      <c r="CK66" s="8"/>
      <c r="CL66" s="7">
        <v>0</v>
      </c>
      <c r="CM66" s="8"/>
      <c r="CN66" s="7">
        <v>0</v>
      </c>
      <c r="CO66" s="8"/>
      <c r="CP66" s="7">
        <v>0</v>
      </c>
      <c r="CQ66" s="8"/>
      <c r="CR66" s="7">
        <v>0</v>
      </c>
      <c r="CS66" s="8"/>
      <c r="CT66" s="7">
        <v>0</v>
      </c>
      <c r="CU66" s="8"/>
      <c r="CV66" s="7">
        <v>0</v>
      </c>
      <c r="CW66" s="8"/>
      <c r="CX66" s="7">
        <v>0</v>
      </c>
      <c r="CY66" s="8"/>
      <c r="CZ66" s="7">
        <v>0</v>
      </c>
      <c r="DA66" s="8"/>
      <c r="DB66" s="7">
        <v>0</v>
      </c>
      <c r="DC66" s="8"/>
    </row>
    <row r="67" spans="2:107">
      <c r="B67" s="9" t="s">
        <v>47</v>
      </c>
      <c r="C67" s="9"/>
      <c r="D67" s="7"/>
      <c r="E67" s="9"/>
      <c r="F67" s="7"/>
      <c r="G67" s="9"/>
      <c r="H67" s="7"/>
      <c r="I67" s="9"/>
      <c r="J67" s="7">
        <v>23003636.530000001</v>
      </c>
      <c r="K67" s="9"/>
      <c r="L67" s="7">
        <v>17351640.82</v>
      </c>
      <c r="M67" s="9"/>
      <c r="N67" s="7">
        <v>16814327.920000002</v>
      </c>
      <c r="O67" s="9"/>
      <c r="P67" s="7">
        <v>16281286.440000001</v>
      </c>
      <c r="Q67" s="9"/>
      <c r="R67" s="7">
        <v>15696520.699999999</v>
      </c>
      <c r="S67" s="9"/>
      <c r="T67" s="7">
        <v>13132938.710000001</v>
      </c>
      <c r="U67" s="9"/>
      <c r="V67" s="7">
        <v>12038144.9</v>
      </c>
      <c r="W67" s="9"/>
      <c r="X67" s="7">
        <v>10692165.23</v>
      </c>
      <c r="Y67" s="9"/>
      <c r="Z67" s="7">
        <v>10900060.800000001</v>
      </c>
      <c r="AA67" s="9"/>
      <c r="AB67" s="7">
        <v>8962855.5599999987</v>
      </c>
      <c r="AC67" s="9"/>
      <c r="AD67" s="7">
        <v>8737436.5500000007</v>
      </c>
      <c r="AE67" s="9"/>
      <c r="AF67" s="7">
        <v>9023537.3900000006</v>
      </c>
      <c r="AG67" s="9"/>
      <c r="AH67" s="7">
        <v>9145376.4699999988</v>
      </c>
      <c r="AI67" s="9"/>
      <c r="AJ67" s="7">
        <v>8877757.870000001</v>
      </c>
      <c r="AK67" s="9"/>
      <c r="AL67" s="7">
        <v>9374219.1199999992</v>
      </c>
      <c r="AM67" s="9"/>
      <c r="AN67" s="7">
        <v>9829481.0999999996</v>
      </c>
      <c r="AO67" s="9"/>
      <c r="AP67" s="7">
        <v>9893714.1699999999</v>
      </c>
      <c r="AQ67" s="9"/>
      <c r="AR67" s="7">
        <v>10251258.449999999</v>
      </c>
      <c r="AS67" s="9"/>
      <c r="AT67" s="7">
        <v>10089575.66</v>
      </c>
      <c r="AU67" s="9"/>
      <c r="AV67" s="7">
        <v>10047932.33</v>
      </c>
      <c r="AW67" s="9"/>
      <c r="AX67" s="7">
        <v>10063355.609999999</v>
      </c>
      <c r="AY67" s="9"/>
      <c r="AZ67" s="7">
        <v>9476470.8200000003</v>
      </c>
      <c r="BA67" s="9"/>
      <c r="BB67" s="7">
        <v>8556487.4299999997</v>
      </c>
      <c r="BC67" s="9"/>
      <c r="BD67" s="7">
        <v>8971789.7699999996</v>
      </c>
      <c r="BE67" s="9"/>
      <c r="BF67" s="7">
        <v>10147432.850000001</v>
      </c>
      <c r="BG67" s="9"/>
      <c r="BH67" s="7">
        <v>5076883.49</v>
      </c>
      <c r="BI67" s="9"/>
      <c r="BJ67" s="7">
        <v>14447896.32</v>
      </c>
      <c r="BK67" s="9"/>
      <c r="BL67" s="7">
        <v>14195583.619999999</v>
      </c>
      <c r="BM67" s="9"/>
      <c r="BN67" s="7">
        <v>13665846.310000001</v>
      </c>
      <c r="BO67" s="9"/>
      <c r="BP67" s="7">
        <v>13824113.039999999</v>
      </c>
      <c r="BQ67" s="9"/>
      <c r="BR67" s="7">
        <v>7572950.0700000003</v>
      </c>
      <c r="BS67" s="9"/>
      <c r="BT67" s="7">
        <v>8970292.0399999991</v>
      </c>
      <c r="BU67" s="9"/>
      <c r="BV67" s="7">
        <v>9063034.0600000005</v>
      </c>
      <c r="BW67" s="9"/>
      <c r="BX67" s="7">
        <v>9155776.0800000001</v>
      </c>
      <c r="BY67" s="9"/>
      <c r="BZ67" s="7">
        <v>9129594.0500000007</v>
      </c>
      <c r="CA67" s="9"/>
      <c r="CB67" s="7">
        <v>9222668.3800000008</v>
      </c>
      <c r="CC67" s="9"/>
      <c r="CD67" s="7">
        <v>6019447.5800000001</v>
      </c>
      <c r="CE67" s="9"/>
      <c r="CF67" s="7">
        <v>6029293.21</v>
      </c>
      <c r="CG67" s="9"/>
      <c r="CH67" s="7">
        <v>5936000.5899999999</v>
      </c>
      <c r="CI67" s="9"/>
      <c r="CJ67" s="7">
        <v>5952310.25</v>
      </c>
      <c r="CK67" s="9"/>
      <c r="CL67" s="7">
        <v>5952310.25</v>
      </c>
      <c r="CM67" s="9"/>
      <c r="CN67" s="7">
        <v>6173719.2000000002</v>
      </c>
      <c r="CO67" s="9"/>
      <c r="CP67" s="7">
        <v>6406721.0599999996</v>
      </c>
      <c r="CQ67" s="8"/>
      <c r="CR67" s="7">
        <v>6847692.8300000001</v>
      </c>
      <c r="CS67" s="9"/>
      <c r="CT67" s="7">
        <v>5078248.46</v>
      </c>
      <c r="CU67" s="9"/>
      <c r="CV67" s="7">
        <v>87293.29</v>
      </c>
      <c r="CW67" s="8"/>
      <c r="CX67" s="7">
        <v>100998.09</v>
      </c>
      <c r="CY67" s="8"/>
      <c r="CZ67" s="7">
        <v>42678.13</v>
      </c>
      <c r="DA67" s="8"/>
      <c r="DB67" s="7">
        <v>0</v>
      </c>
      <c r="DC67" s="9"/>
    </row>
    <row r="68" spans="2:107">
      <c r="B68" s="9"/>
      <c r="C68" s="9"/>
      <c r="D68" s="22"/>
      <c r="E68" s="9"/>
      <c r="F68" s="22"/>
      <c r="G68" s="9"/>
      <c r="H68" s="22"/>
      <c r="I68" s="9"/>
      <c r="J68" s="22"/>
      <c r="K68" s="9"/>
      <c r="L68" s="22"/>
      <c r="M68" s="9"/>
      <c r="N68" s="22"/>
      <c r="O68" s="9"/>
      <c r="P68" s="22"/>
      <c r="Q68" s="9"/>
      <c r="R68" s="22"/>
      <c r="S68" s="9"/>
      <c r="T68" s="22"/>
      <c r="U68" s="9"/>
      <c r="V68" s="22"/>
      <c r="W68" s="9"/>
      <c r="X68" s="22"/>
      <c r="Y68" s="9"/>
      <c r="Z68" s="22"/>
      <c r="AA68" s="9"/>
      <c r="AB68" s="22"/>
      <c r="AC68" s="9"/>
      <c r="AD68" s="22"/>
      <c r="AE68" s="9"/>
      <c r="AF68" s="22"/>
      <c r="AG68" s="9"/>
      <c r="AH68" s="22"/>
      <c r="AI68" s="9"/>
      <c r="AJ68" s="22"/>
      <c r="AK68" s="9"/>
      <c r="AL68" s="22"/>
      <c r="AM68" s="9"/>
      <c r="AN68" s="22"/>
      <c r="AO68" s="9"/>
      <c r="AP68" s="22"/>
      <c r="AQ68" s="9"/>
      <c r="AR68" s="22"/>
      <c r="AS68" s="9"/>
      <c r="AT68" s="22"/>
      <c r="AU68" s="9"/>
      <c r="AV68" s="22"/>
      <c r="AW68" s="9"/>
      <c r="AX68" s="22"/>
      <c r="AY68" s="9"/>
      <c r="AZ68" s="22"/>
      <c r="BA68" s="9"/>
      <c r="BB68" s="22"/>
      <c r="BC68" s="9"/>
      <c r="BD68" s="22"/>
      <c r="BE68" s="9"/>
      <c r="BF68" s="22"/>
      <c r="BG68" s="9"/>
      <c r="BH68" s="22"/>
      <c r="BI68" s="9"/>
      <c r="BJ68" s="22"/>
      <c r="BK68" s="9"/>
      <c r="BL68" s="22"/>
      <c r="BM68" s="9"/>
      <c r="BN68" s="22"/>
      <c r="BO68" s="9"/>
      <c r="BP68" s="22"/>
      <c r="BQ68" s="9"/>
      <c r="BR68" s="22"/>
      <c r="BS68" s="9"/>
      <c r="BT68" s="22"/>
      <c r="BU68" s="9"/>
      <c r="BV68" s="22"/>
      <c r="BW68" s="9"/>
      <c r="BX68" s="22"/>
      <c r="BY68" s="9"/>
      <c r="BZ68" s="22"/>
      <c r="CA68" s="9"/>
      <c r="CB68" s="22"/>
      <c r="CC68" s="9"/>
      <c r="CD68" s="22"/>
      <c r="CE68" s="9"/>
      <c r="CF68" s="22"/>
      <c r="CG68" s="9"/>
      <c r="CH68" s="22"/>
      <c r="CI68" s="9"/>
      <c r="CJ68" s="22"/>
      <c r="CK68" s="9"/>
      <c r="CL68" s="22"/>
      <c r="CM68" s="9"/>
      <c r="CN68" s="22"/>
      <c r="CO68" s="9"/>
      <c r="CP68" s="22"/>
      <c r="CQ68" s="8"/>
      <c r="CR68" s="22"/>
      <c r="CS68" s="9"/>
      <c r="CT68" s="22"/>
      <c r="CU68" s="9"/>
      <c r="CV68" s="22"/>
      <c r="CW68" s="8"/>
      <c r="CX68" s="22"/>
      <c r="CY68" s="8"/>
      <c r="CZ68" s="22"/>
      <c r="DA68" s="9"/>
      <c r="DB68" s="22"/>
      <c r="DC68" s="9"/>
    </row>
    <row r="69" spans="2:107">
      <c r="B69" s="6" t="s">
        <v>48</v>
      </c>
      <c r="C69" s="6"/>
      <c r="D69" s="21"/>
      <c r="E69" s="6"/>
      <c r="F69" s="21"/>
      <c r="G69" s="6"/>
      <c r="H69" s="21"/>
      <c r="I69" s="6"/>
      <c r="J69" s="21">
        <f>SUM(J58:J60,J64:J67,J62)</f>
        <v>37433601.259999998</v>
      </c>
      <c r="K69" s="6"/>
      <c r="L69" s="21">
        <f>SUM(L58:L60,L64:L67,L62)</f>
        <v>35301804.18</v>
      </c>
      <c r="M69" s="6"/>
      <c r="N69" s="21">
        <f>SUM(N58:N60,N64:N67,N62)</f>
        <v>28553214.630000003</v>
      </c>
      <c r="O69" s="6"/>
      <c r="P69" s="21">
        <f>SUM(P58:P60,P64:P67,P62)</f>
        <v>28313210.5</v>
      </c>
      <c r="Q69" s="6"/>
      <c r="R69" s="21">
        <f>SUM(R58:R60,R64:R67,R62)</f>
        <v>25385948.93</v>
      </c>
      <c r="S69" s="6"/>
      <c r="T69" s="21">
        <f>SUM(T58:T60,T64:T67,T62)</f>
        <v>25439034.780000001</v>
      </c>
      <c r="U69" s="6"/>
      <c r="V69" s="21">
        <f>SUM(V58:V60,V64:V67,V62)</f>
        <v>24636127.690000001</v>
      </c>
      <c r="W69" s="6"/>
      <c r="X69" s="21">
        <f>SUM(X58:X60,X64:X67,X62)</f>
        <v>17938448.030000001</v>
      </c>
      <c r="Y69" s="6"/>
      <c r="Z69" s="21">
        <f>SUM(Z58:Z60,Z64:Z67,Z62)</f>
        <v>18385533.359999999</v>
      </c>
      <c r="AA69" s="6"/>
      <c r="AB69" s="21">
        <f>SUM(AB58:AB60,AB64:AB67,AB62)</f>
        <v>19490254.879999999</v>
      </c>
      <c r="AC69" s="6"/>
      <c r="AD69" s="21">
        <f>SUM(AD58:AD60,AD64:AD67,AD62)</f>
        <v>20241533.880000003</v>
      </c>
      <c r="AE69" s="6"/>
      <c r="AF69" s="21">
        <f>SUM(AF58:AF60,AF64:AF67,AF62)</f>
        <v>18909712.940000001</v>
      </c>
      <c r="AG69" s="6"/>
      <c r="AH69" s="21">
        <f>SUM(AH58:AH60,AH64:AH67,AH62)</f>
        <v>19331595.960000001</v>
      </c>
      <c r="AI69" s="6"/>
      <c r="AJ69" s="21">
        <f>SUM(AJ58:AJ60,AJ64:AJ67,AJ62)</f>
        <v>15505862.73</v>
      </c>
      <c r="AK69" s="6"/>
      <c r="AL69" s="21">
        <f>SUM(AL58:AL60,AL64:AL67,AL62)</f>
        <v>14985212.109999999</v>
      </c>
      <c r="AM69" s="6"/>
      <c r="AN69" s="21">
        <f>SUM(AN58:AN60,AN64:AN67,AN62)</f>
        <v>16063992.059999999</v>
      </c>
      <c r="AO69" s="6"/>
      <c r="AP69" s="21">
        <f>SUM(AP58:AP60,AP64:AP67,AP62)</f>
        <v>16078174.759999998</v>
      </c>
      <c r="AQ69" s="6"/>
      <c r="AR69" s="21">
        <f>SUM(AR58:AR60,AR64:AR67)</f>
        <v>16828849.66</v>
      </c>
      <c r="AS69" s="6"/>
      <c r="AT69" s="21">
        <f>SUM(AT58:AT60,AT64:AT67)</f>
        <v>11948536.5</v>
      </c>
      <c r="AU69" s="6"/>
      <c r="AV69" s="21">
        <f>SUM(AV58:AV60,AV64:AV67)</f>
        <v>12127178.43</v>
      </c>
      <c r="AW69" s="6"/>
      <c r="AX69" s="21">
        <f>SUM(AX58:AX60,AX64:AX67)</f>
        <v>12294642.989999998</v>
      </c>
      <c r="AY69" s="6"/>
      <c r="AZ69" s="21">
        <f>SUM(AZ58:AZ60,AZ64:AZ67)</f>
        <v>10854792.91</v>
      </c>
      <c r="BA69" s="6"/>
      <c r="BB69" s="21">
        <f>SUM(BB58:BB60,BB64:BB67)</f>
        <v>8808605.7899999991</v>
      </c>
      <c r="BC69" s="6"/>
      <c r="BD69" s="21">
        <f>SUM(BD58:BD60,BD64:BD67)</f>
        <v>9246895.75</v>
      </c>
      <c r="BE69" s="6"/>
      <c r="BF69" s="21">
        <f>SUM(BF58:BF60,BF64:BF67)</f>
        <v>10539975.790000001</v>
      </c>
      <c r="BG69" s="6"/>
      <c r="BH69" s="21">
        <f>SUM(BH58:BH60,BH64:BH67)</f>
        <v>5445569.0600000005</v>
      </c>
      <c r="BI69" s="6"/>
      <c r="BJ69" s="21">
        <f>SUM(BJ58:BJ60,BJ64:BJ67)</f>
        <v>14876486.970000001</v>
      </c>
      <c r="BK69" s="6"/>
      <c r="BL69" s="21">
        <f>SUM(BL58:BL60,BL64:BL67)</f>
        <v>14819987.129999999</v>
      </c>
      <c r="BM69" s="6"/>
      <c r="BN69" s="21">
        <f>SUM(BN58:BN60,BN64:BN67)</f>
        <v>14846083.23</v>
      </c>
      <c r="BO69" s="6"/>
      <c r="BP69" s="21">
        <f>SUM(BP58:BP60,BP64:BP67)</f>
        <v>15728867.869999999</v>
      </c>
      <c r="BQ69" s="6"/>
      <c r="BR69" s="21">
        <f>SUM(BR58:BR60,BR64:BR67)</f>
        <v>10072966.43</v>
      </c>
      <c r="BS69" s="6"/>
      <c r="BT69" s="21">
        <f>SUM(BT58:BT60,BT64:BT67)</f>
        <v>12022412.149999999</v>
      </c>
      <c r="BU69" s="6"/>
      <c r="BV69" s="21">
        <f>SUM(BV58:BV60,BV64:BV67)</f>
        <v>12699663.470000001</v>
      </c>
      <c r="BW69" s="6"/>
      <c r="BX69" s="21">
        <f>SUM(BX58:BX60,BX64:BX67)</f>
        <v>13310464.41</v>
      </c>
      <c r="BY69" s="6"/>
      <c r="BZ69" s="21">
        <f>SUM(BZ58:BZ60,BZ64:BZ67)</f>
        <v>13758207</v>
      </c>
      <c r="CA69" s="6"/>
      <c r="CB69" s="21">
        <f>SUM(CB58:CB60,CB64:CB67)</f>
        <v>14346763.98</v>
      </c>
      <c r="CC69" s="6"/>
      <c r="CD69" s="21">
        <f>SUM(CD58:CD60,CD64:CD67)</f>
        <v>11684343.050000001</v>
      </c>
      <c r="CE69" s="6"/>
      <c r="CF69" s="21">
        <f>SUM(CF58:CF60,CF64:CF67)</f>
        <v>11899145.899999999</v>
      </c>
      <c r="CG69" s="6"/>
      <c r="CH69" s="21">
        <f>SUM(CH58:CH60,CH64:CH67)</f>
        <v>11922119.609999999</v>
      </c>
      <c r="CI69" s="6"/>
      <c r="CJ69" s="21">
        <f>SUM(CJ58:CJ60,CJ64:CJ67)</f>
        <v>13164577.880000001</v>
      </c>
      <c r="CK69" s="6"/>
      <c r="CL69" s="21">
        <f>SUM(CL58:CL60,CL64:CL67)</f>
        <v>14119703.9</v>
      </c>
      <c r="CM69" s="6"/>
      <c r="CN69" s="21">
        <f>SUM(CN58:CN60,CN64:CN67)</f>
        <v>15511504.755210355</v>
      </c>
      <c r="CO69" s="6"/>
      <c r="CP69" s="21">
        <f>SUM(CP58:CP60,CP64:CP67)</f>
        <v>16654405.997961342</v>
      </c>
      <c r="CQ69" s="8"/>
      <c r="CR69" s="21">
        <f>SUM(CR58:CR60,CR64:CR67)</f>
        <v>17853569.575963281</v>
      </c>
      <c r="CS69" s="6"/>
      <c r="CT69" s="21">
        <f>SUM(CT58:CT60,CT64:CT67)</f>
        <v>14027551.677026164</v>
      </c>
      <c r="CU69" s="6"/>
      <c r="CV69" s="21">
        <f>SUM(CV58:CV60,CV64:CV67)</f>
        <v>6087492.6722541982</v>
      </c>
      <c r="CW69" s="8"/>
      <c r="CX69" s="21">
        <f>SUM(CX58:CX60,CX64:CX67)</f>
        <v>6920552.9312112732</v>
      </c>
      <c r="CY69" s="8"/>
      <c r="CZ69" s="21">
        <f>SUM(CZ58:CZ60,CZ64:CZ67)</f>
        <v>8037392.3613058822</v>
      </c>
      <c r="DA69" s="6"/>
      <c r="DB69" s="21">
        <f>SUM(DB58:DB60,DB64:DB67)</f>
        <v>10736954.670248009</v>
      </c>
      <c r="DC69" s="6"/>
    </row>
    <row r="70" spans="2:107">
      <c r="B70" s="8"/>
      <c r="C70" s="8"/>
      <c r="D70" s="18"/>
      <c r="E70" s="8"/>
      <c r="F70" s="18"/>
      <c r="G70" s="8"/>
      <c r="H70" s="18"/>
      <c r="I70" s="8"/>
      <c r="J70" s="18"/>
      <c r="K70" s="8"/>
      <c r="L70" s="18"/>
      <c r="M70" s="8"/>
      <c r="N70" s="18"/>
      <c r="O70" s="8"/>
      <c r="P70" s="18"/>
      <c r="Q70" s="8"/>
      <c r="R70" s="18"/>
      <c r="S70" s="8"/>
      <c r="T70" s="18"/>
      <c r="U70" s="8"/>
      <c r="V70" s="18"/>
      <c r="W70" s="8"/>
      <c r="X70" s="18"/>
      <c r="Y70" s="8"/>
      <c r="Z70" s="18"/>
      <c r="AA70" s="8"/>
      <c r="AB70" s="18"/>
      <c r="AC70" s="8"/>
      <c r="AD70" s="18"/>
      <c r="AE70" s="8"/>
      <c r="AF70" s="18"/>
      <c r="AG70" s="8"/>
      <c r="AH70" s="18"/>
      <c r="AI70" s="8"/>
      <c r="AJ70" s="18"/>
      <c r="AK70" s="8"/>
      <c r="AL70" s="18"/>
      <c r="AM70" s="8"/>
      <c r="AN70" s="18"/>
      <c r="AO70" s="8"/>
      <c r="AP70" s="18"/>
      <c r="AQ70" s="8"/>
      <c r="AR70" s="18"/>
      <c r="AS70" s="8"/>
      <c r="AT70" s="18"/>
      <c r="AU70" s="8"/>
      <c r="AV70" s="18"/>
      <c r="AW70" s="8"/>
      <c r="AX70" s="18"/>
      <c r="AY70" s="8"/>
      <c r="AZ70" s="18"/>
      <c r="BA70" s="8"/>
      <c r="BB70" s="18"/>
      <c r="BC70" s="8"/>
      <c r="BD70" s="18"/>
      <c r="BE70" s="8"/>
      <c r="BF70" s="18"/>
      <c r="BG70" s="8"/>
      <c r="BH70" s="18"/>
      <c r="BI70" s="8"/>
      <c r="BJ70" s="18"/>
      <c r="BK70" s="8"/>
      <c r="BL70" s="18"/>
      <c r="BM70" s="8"/>
      <c r="BN70" s="18"/>
      <c r="BO70" s="8"/>
      <c r="BP70" s="18"/>
      <c r="BQ70" s="8"/>
      <c r="BR70" s="18"/>
      <c r="BS70" s="8"/>
      <c r="BT70" s="18"/>
      <c r="BU70" s="8"/>
      <c r="BV70" s="18"/>
      <c r="BW70" s="8"/>
      <c r="BX70" s="18"/>
      <c r="BY70" s="8"/>
      <c r="BZ70" s="18"/>
      <c r="CA70" s="8"/>
      <c r="CB70" s="18"/>
      <c r="CC70" s="8"/>
      <c r="CD70" s="18"/>
      <c r="CE70" s="8"/>
      <c r="CF70" s="18"/>
      <c r="CG70" s="8"/>
      <c r="CH70" s="18"/>
      <c r="CI70" s="8"/>
      <c r="CJ70" s="18"/>
      <c r="CK70" s="8"/>
      <c r="CL70" s="18"/>
      <c r="CM70" s="8"/>
      <c r="CN70" s="18"/>
      <c r="CO70" s="8"/>
      <c r="CP70" s="18"/>
      <c r="CQ70" s="9"/>
      <c r="CR70" s="18"/>
      <c r="CS70" s="8"/>
      <c r="CT70" s="18"/>
      <c r="CU70" s="8"/>
      <c r="CV70" s="18"/>
      <c r="CW70" s="9"/>
      <c r="CX70" s="18"/>
      <c r="CY70" s="9"/>
      <c r="CZ70" s="18"/>
      <c r="DA70" s="8"/>
      <c r="DB70" s="18"/>
      <c r="DC70" s="8"/>
    </row>
    <row r="71" spans="2:107">
      <c r="B71" s="6" t="s">
        <v>49</v>
      </c>
      <c r="C71" s="6"/>
      <c r="D71" s="18"/>
      <c r="E71" s="6"/>
      <c r="F71" s="18"/>
      <c r="G71" s="6"/>
      <c r="H71" s="18"/>
      <c r="I71" s="6"/>
      <c r="J71" s="18"/>
      <c r="K71" s="6"/>
      <c r="L71" s="18"/>
      <c r="M71" s="6"/>
      <c r="N71" s="18"/>
      <c r="O71" s="6"/>
      <c r="P71" s="18"/>
      <c r="Q71" s="6"/>
      <c r="R71" s="18"/>
      <c r="S71" s="6"/>
      <c r="T71" s="18"/>
      <c r="U71" s="6"/>
      <c r="V71" s="18"/>
      <c r="W71" s="6"/>
      <c r="X71" s="18"/>
      <c r="Y71" s="6"/>
      <c r="Z71" s="18"/>
      <c r="AA71" s="6"/>
      <c r="AB71" s="18"/>
      <c r="AC71" s="6"/>
      <c r="AD71" s="18"/>
      <c r="AE71" s="6"/>
      <c r="AF71" s="18"/>
      <c r="AG71" s="6"/>
      <c r="AH71" s="18"/>
      <c r="AI71" s="6"/>
      <c r="AJ71" s="18"/>
      <c r="AK71" s="6"/>
      <c r="AL71" s="18"/>
      <c r="AM71" s="6"/>
      <c r="AN71" s="18"/>
      <c r="AO71" s="6"/>
      <c r="AP71" s="18"/>
      <c r="AQ71" s="6"/>
      <c r="AR71" s="18"/>
      <c r="AS71" s="6"/>
      <c r="AT71" s="18"/>
      <c r="AU71" s="6"/>
      <c r="AV71" s="18"/>
      <c r="AW71" s="6"/>
      <c r="AX71" s="18"/>
      <c r="AY71" s="6"/>
      <c r="AZ71" s="18"/>
      <c r="BA71" s="6"/>
      <c r="BB71" s="18"/>
      <c r="BC71" s="6"/>
      <c r="BD71" s="18"/>
      <c r="BE71" s="6"/>
      <c r="BF71" s="18"/>
      <c r="BG71" s="6"/>
      <c r="BH71" s="18"/>
      <c r="BI71" s="6"/>
      <c r="BJ71" s="18"/>
      <c r="BK71" s="6"/>
      <c r="BL71" s="18"/>
      <c r="BM71" s="6"/>
      <c r="BN71" s="18"/>
      <c r="BO71" s="6"/>
      <c r="BP71" s="18"/>
      <c r="BQ71" s="6"/>
      <c r="BR71" s="18"/>
      <c r="BS71" s="6"/>
      <c r="BT71" s="18"/>
      <c r="BU71" s="6"/>
      <c r="BV71" s="18"/>
      <c r="BW71" s="6"/>
      <c r="BX71" s="18"/>
      <c r="BY71" s="6"/>
      <c r="BZ71" s="18"/>
      <c r="CA71" s="6"/>
      <c r="CB71" s="18"/>
      <c r="CC71" s="6"/>
      <c r="CD71" s="18"/>
      <c r="CE71" s="6"/>
      <c r="CF71" s="18"/>
      <c r="CG71" s="6"/>
      <c r="CH71" s="18"/>
      <c r="CI71" s="6"/>
      <c r="CJ71" s="18"/>
      <c r="CK71" s="6"/>
      <c r="CL71" s="18"/>
      <c r="CM71" s="6"/>
      <c r="CN71" s="18"/>
      <c r="CO71" s="6"/>
      <c r="CP71" s="18"/>
      <c r="CQ71" s="8"/>
      <c r="CR71" s="18"/>
      <c r="CS71" s="6"/>
      <c r="CT71" s="18"/>
      <c r="CU71" s="6"/>
      <c r="CV71" s="18"/>
      <c r="CW71" s="8"/>
      <c r="CX71" s="18"/>
      <c r="CY71" s="8"/>
      <c r="CZ71" s="18"/>
      <c r="DA71" s="6"/>
      <c r="DB71" s="18"/>
      <c r="DC71" s="6"/>
    </row>
    <row r="72" spans="2:107">
      <c r="B72" s="8" t="s">
        <v>50</v>
      </c>
      <c r="C72" s="8"/>
      <c r="D72" s="7"/>
      <c r="E72" s="8"/>
      <c r="F72" s="7"/>
      <c r="G72" s="8"/>
      <c r="H72" s="7"/>
      <c r="I72" s="8"/>
      <c r="J72" s="7">
        <v>0</v>
      </c>
      <c r="K72" s="8"/>
      <c r="L72" s="7">
        <v>0</v>
      </c>
      <c r="M72" s="8"/>
      <c r="N72" s="7">
        <v>0</v>
      </c>
      <c r="O72" s="8"/>
      <c r="P72" s="7">
        <v>0</v>
      </c>
      <c r="Q72" s="8"/>
      <c r="R72" s="7">
        <v>0</v>
      </c>
      <c r="S72" s="8"/>
      <c r="T72" s="7">
        <v>0</v>
      </c>
      <c r="U72" s="8"/>
      <c r="V72" s="7">
        <v>7056177.3799999999</v>
      </c>
      <c r="W72" s="8"/>
      <c r="X72" s="7">
        <v>1475596.2</v>
      </c>
      <c r="Y72" s="8"/>
      <c r="Z72" s="7">
        <v>0</v>
      </c>
      <c r="AA72" s="8"/>
      <c r="AB72" s="7">
        <v>11295701.32</v>
      </c>
      <c r="AC72" s="8"/>
      <c r="AD72" s="7">
        <v>6503238.7699999996</v>
      </c>
      <c r="AE72" s="8"/>
      <c r="AF72" s="7">
        <v>13742884.300000001</v>
      </c>
      <c r="AG72" s="8"/>
      <c r="AH72" s="7">
        <v>0</v>
      </c>
      <c r="AI72" s="8"/>
      <c r="AJ72" s="7">
        <v>0</v>
      </c>
      <c r="AK72" s="8"/>
      <c r="AL72" s="7">
        <v>0</v>
      </c>
      <c r="AM72" s="8"/>
      <c r="AN72" s="7">
        <v>0</v>
      </c>
      <c r="AO72" s="8"/>
      <c r="AP72" s="7">
        <v>0</v>
      </c>
      <c r="AQ72" s="8"/>
      <c r="AR72" s="7">
        <v>0</v>
      </c>
      <c r="AS72" s="8"/>
      <c r="AT72" s="7">
        <v>0</v>
      </c>
      <c r="AU72" s="8"/>
      <c r="AV72" s="7">
        <v>7063968.8600000003</v>
      </c>
      <c r="AW72" s="8"/>
      <c r="AX72" s="7">
        <v>0</v>
      </c>
      <c r="AY72" s="8"/>
      <c r="AZ72" s="7">
        <v>0</v>
      </c>
      <c r="BA72" s="8"/>
      <c r="BB72" s="7">
        <v>0</v>
      </c>
      <c r="BC72" s="8"/>
      <c r="BD72" s="7">
        <v>0</v>
      </c>
      <c r="BE72" s="8"/>
      <c r="BF72" s="7">
        <v>353020.87</v>
      </c>
      <c r="BG72" s="8"/>
      <c r="BH72" s="7">
        <v>820795.47</v>
      </c>
      <c r="BI72" s="8"/>
      <c r="BJ72" s="7">
        <v>4002623.92</v>
      </c>
      <c r="BK72" s="8"/>
      <c r="BL72" s="7">
        <v>3002548.1799999997</v>
      </c>
      <c r="BM72" s="8"/>
      <c r="BN72" s="7">
        <v>1371728.95</v>
      </c>
      <c r="BO72" s="8"/>
      <c r="BP72" s="7">
        <v>7804090.8399999999</v>
      </c>
      <c r="BQ72" s="8"/>
      <c r="BR72" s="7">
        <v>7084132.8799999999</v>
      </c>
      <c r="BS72" s="8"/>
      <c r="BT72" s="7">
        <v>4386660.9000000004</v>
      </c>
      <c r="BU72" s="8"/>
      <c r="BV72" s="7">
        <v>2984536.35</v>
      </c>
      <c r="BW72" s="8"/>
      <c r="BX72" s="7">
        <v>4529785.53</v>
      </c>
      <c r="BY72" s="8"/>
      <c r="BZ72" s="7">
        <v>4856061.72</v>
      </c>
      <c r="CA72" s="8"/>
      <c r="CB72" s="7">
        <v>4854666.07</v>
      </c>
      <c r="CC72" s="8"/>
      <c r="CD72" s="7">
        <v>2936589.84</v>
      </c>
      <c r="CE72" s="8"/>
      <c r="CF72" s="7">
        <v>3473708.59</v>
      </c>
      <c r="CG72" s="8"/>
      <c r="CH72" s="7">
        <v>3741990.83</v>
      </c>
      <c r="CI72" s="8"/>
      <c r="CJ72" s="7">
        <v>3704759.02</v>
      </c>
      <c r="CK72" s="8"/>
      <c r="CL72" s="7">
        <v>3355555.79</v>
      </c>
      <c r="CM72" s="8"/>
      <c r="CN72" s="7">
        <v>3627989.92</v>
      </c>
      <c r="CO72" s="8"/>
      <c r="CP72" s="7">
        <v>3582211.6</v>
      </c>
      <c r="CQ72" s="19"/>
      <c r="CR72" s="7">
        <v>3443045.39</v>
      </c>
      <c r="CS72" s="8"/>
      <c r="CT72" s="7">
        <v>2427018.7400000002</v>
      </c>
      <c r="CU72" s="8"/>
      <c r="CV72" s="7">
        <v>3597251.39</v>
      </c>
      <c r="CW72" s="19"/>
      <c r="CX72" s="7">
        <v>3218475.84</v>
      </c>
      <c r="CY72" s="19"/>
      <c r="CZ72" s="7">
        <v>2065026.49</v>
      </c>
      <c r="DA72" s="8"/>
      <c r="DB72" s="7">
        <v>1720760.28</v>
      </c>
      <c r="DC72" s="8"/>
    </row>
    <row r="73" spans="2:107">
      <c r="B73" s="23" t="s">
        <v>40</v>
      </c>
      <c r="C73" s="23"/>
      <c r="D73" s="7"/>
      <c r="E73" s="23"/>
      <c r="F73" s="7"/>
      <c r="G73" s="23"/>
      <c r="H73" s="7"/>
      <c r="I73" s="23"/>
      <c r="J73" s="7">
        <v>119477323.59000002</v>
      </c>
      <c r="K73" s="23"/>
      <c r="L73" s="7">
        <v>70756237.419999987</v>
      </c>
      <c r="M73" s="23"/>
      <c r="N73" s="7">
        <v>51725083.969999999</v>
      </c>
      <c r="O73" s="23"/>
      <c r="P73" s="7">
        <v>49897044.420000002</v>
      </c>
      <c r="Q73" s="23"/>
      <c r="R73" s="7">
        <v>100653988.31</v>
      </c>
      <c r="S73" s="23"/>
      <c r="T73" s="7">
        <v>67828564.219999999</v>
      </c>
      <c r="U73" s="23"/>
      <c r="V73" s="7">
        <v>34231424.050000004</v>
      </c>
      <c r="W73" s="23"/>
      <c r="X73" s="7">
        <v>49703465.939999998</v>
      </c>
      <c r="Y73" s="23"/>
      <c r="Z73" s="7">
        <v>38362380.619999997</v>
      </c>
      <c r="AA73" s="23"/>
      <c r="AB73" s="7">
        <v>52674064.409999989</v>
      </c>
      <c r="AC73" s="23"/>
      <c r="AD73" s="7">
        <v>27808831.970000003</v>
      </c>
      <c r="AE73" s="23"/>
      <c r="AF73" s="7">
        <v>22891237.159999996</v>
      </c>
      <c r="AG73" s="23"/>
      <c r="AH73" s="7">
        <v>43548179.100000009</v>
      </c>
      <c r="AI73" s="23"/>
      <c r="AJ73" s="7">
        <v>41762082.120000005</v>
      </c>
      <c r="AK73" s="23"/>
      <c r="AL73" s="7">
        <v>21566696.259999998</v>
      </c>
      <c r="AM73" s="23"/>
      <c r="AN73" s="7">
        <v>16938917.5</v>
      </c>
      <c r="AO73" s="23"/>
      <c r="AP73" s="7">
        <v>22647127.690000001</v>
      </c>
      <c r="AQ73" s="23"/>
      <c r="AR73" s="7">
        <v>24624363.080000002</v>
      </c>
      <c r="AS73" s="23"/>
      <c r="AT73" s="7">
        <v>12854316.5</v>
      </c>
      <c r="AU73" s="23"/>
      <c r="AV73" s="7">
        <v>25507560.550000001</v>
      </c>
      <c r="AW73" s="23"/>
      <c r="AX73" s="7">
        <v>40647919.480000004</v>
      </c>
      <c r="AY73" s="23"/>
      <c r="AZ73" s="7">
        <v>23855620.129999999</v>
      </c>
      <c r="BA73" s="23"/>
      <c r="BB73" s="7">
        <v>13503232.529999997</v>
      </c>
      <c r="BC73" s="23"/>
      <c r="BD73" s="7">
        <v>22967911.759999998</v>
      </c>
      <c r="BE73" s="23"/>
      <c r="BF73" s="7">
        <v>39366927.669999994</v>
      </c>
      <c r="BG73" s="23"/>
      <c r="BH73" s="7">
        <v>19861601.449999999</v>
      </c>
      <c r="BI73" s="23"/>
      <c r="BJ73" s="7">
        <v>8527118.2599999998</v>
      </c>
      <c r="BK73" s="23"/>
      <c r="BL73" s="7">
        <v>6832437.5599999996</v>
      </c>
      <c r="BM73" s="23"/>
      <c r="BN73" s="7">
        <v>26536366.299999997</v>
      </c>
      <c r="BO73" s="23"/>
      <c r="BP73" s="7">
        <v>9715202.540000001</v>
      </c>
      <c r="BQ73" s="23"/>
      <c r="BR73" s="7">
        <v>7267947.6699999999</v>
      </c>
      <c r="BS73" s="23"/>
      <c r="BT73" s="7">
        <v>8805931.2300000004</v>
      </c>
      <c r="BU73" s="23"/>
      <c r="BV73" s="7">
        <v>13996982.1</v>
      </c>
      <c r="BW73" s="23"/>
      <c r="BX73" s="7">
        <v>14356680.770000001</v>
      </c>
      <c r="BY73" s="23"/>
      <c r="BZ73" s="7">
        <v>10097862.369999997</v>
      </c>
      <c r="CA73" s="23"/>
      <c r="CB73" s="7">
        <v>7132249.9499999983</v>
      </c>
      <c r="CC73" s="23"/>
      <c r="CD73" s="7">
        <v>28080539.029999997</v>
      </c>
      <c r="CE73" s="23"/>
      <c r="CF73" s="7">
        <v>31398385.43</v>
      </c>
      <c r="CG73" s="23"/>
      <c r="CH73" s="7">
        <v>5035570.7699999996</v>
      </c>
      <c r="CI73" s="23"/>
      <c r="CJ73" s="7">
        <v>13971650.810000001</v>
      </c>
      <c r="CK73" s="23"/>
      <c r="CL73" s="7">
        <v>27023801.960000001</v>
      </c>
      <c r="CM73" s="23"/>
      <c r="CN73" s="7">
        <v>23775400.137043841</v>
      </c>
      <c r="CO73" s="23"/>
      <c r="CP73" s="7">
        <v>16800437.92324993</v>
      </c>
      <c r="CQ73" s="6"/>
      <c r="CR73" s="7">
        <v>14067230.561043911</v>
      </c>
      <c r="CS73" s="23"/>
      <c r="CT73" s="7">
        <v>28002856.784279712</v>
      </c>
      <c r="CU73" s="23"/>
      <c r="CV73" s="7">
        <v>30224439.747002527</v>
      </c>
      <c r="CW73" s="6"/>
      <c r="CX73" s="7">
        <v>12075818.153139049</v>
      </c>
      <c r="CY73" s="6"/>
      <c r="CZ73" s="7">
        <v>29298428.588942125</v>
      </c>
      <c r="DA73" s="8"/>
      <c r="DB73" s="7">
        <v>16484183.360722788</v>
      </c>
      <c r="DC73" s="23"/>
    </row>
    <row r="74" spans="2:107" hidden="1">
      <c r="B74" s="8" t="s">
        <v>51</v>
      </c>
      <c r="C74" s="8"/>
      <c r="D74" s="7"/>
      <c r="E74" s="8"/>
      <c r="F74" s="7"/>
      <c r="G74" s="8"/>
      <c r="H74" s="7"/>
      <c r="I74" s="8"/>
      <c r="J74" s="7"/>
      <c r="K74" s="8"/>
      <c r="L74" s="7"/>
      <c r="M74" s="8"/>
      <c r="N74" s="7"/>
      <c r="O74" s="8"/>
      <c r="P74" s="7"/>
      <c r="Q74" s="8"/>
      <c r="R74" s="7"/>
      <c r="S74" s="8"/>
      <c r="T74" s="7"/>
      <c r="U74" s="8"/>
      <c r="V74" s="7"/>
      <c r="W74" s="8"/>
      <c r="X74" s="7"/>
      <c r="Y74" s="8"/>
      <c r="Z74" s="7"/>
      <c r="AA74" s="8"/>
      <c r="AB74" s="7"/>
      <c r="AC74" s="8"/>
      <c r="AD74" s="7"/>
      <c r="AE74" s="8"/>
      <c r="AF74" s="7"/>
      <c r="AG74" s="8"/>
      <c r="AH74" s="7"/>
      <c r="AI74" s="8"/>
      <c r="AJ74" s="7"/>
      <c r="AK74" s="8"/>
      <c r="AL74" s="7"/>
      <c r="AM74" s="8"/>
      <c r="AN74" s="7"/>
      <c r="AO74" s="8"/>
      <c r="AP74" s="7"/>
      <c r="AQ74" s="8"/>
      <c r="AR74" s="7">
        <v>2135682.3199999998</v>
      </c>
      <c r="AS74" s="8"/>
      <c r="AT74" s="7">
        <v>1199363.6299999999</v>
      </c>
      <c r="AU74" s="8"/>
      <c r="AV74" s="7">
        <v>1117766.95</v>
      </c>
      <c r="AW74" s="8"/>
      <c r="AX74" s="7">
        <v>936831.14</v>
      </c>
      <c r="AY74" s="8"/>
      <c r="AZ74" s="7">
        <v>116154.03</v>
      </c>
      <c r="BA74" s="8"/>
      <c r="BB74" s="7">
        <v>164335.35999999999</v>
      </c>
      <c r="BC74" s="8"/>
      <c r="BD74" s="7">
        <v>293898.23999999999</v>
      </c>
      <c r="BE74" s="8"/>
      <c r="BF74" s="7">
        <v>0</v>
      </c>
      <c r="BG74" s="8"/>
      <c r="BH74" s="7">
        <v>583784.91</v>
      </c>
      <c r="BI74" s="8"/>
      <c r="BJ74" s="7">
        <v>656240.05000000005</v>
      </c>
      <c r="BK74" s="8"/>
      <c r="BL74" s="7">
        <v>660340.51</v>
      </c>
      <c r="BM74" s="8"/>
      <c r="BN74" s="7">
        <v>709019.41</v>
      </c>
      <c r="BO74" s="8"/>
      <c r="BP74" s="7">
        <v>556486.48</v>
      </c>
      <c r="BQ74" s="8"/>
      <c r="BR74" s="7">
        <f>SUM(BR75:BR77)</f>
        <v>531519.91</v>
      </c>
      <c r="BS74" s="8"/>
      <c r="BT74" s="7">
        <f>SUM(BT75:BT77)</f>
        <v>549155.78</v>
      </c>
      <c r="BU74" s="8"/>
      <c r="BV74" s="7">
        <f>SUM(BV75:BV77)</f>
        <v>531681.44999999995</v>
      </c>
      <c r="BW74" s="8"/>
      <c r="BX74" s="7">
        <v>684434.1</v>
      </c>
      <c r="BY74" s="8"/>
      <c r="BZ74" s="7">
        <f>SUM(BZ75:BZ77)</f>
        <v>804760.29</v>
      </c>
      <c r="CA74" s="8"/>
      <c r="CB74" s="7">
        <f>SUM(CB75:CB77)</f>
        <v>949651.74</v>
      </c>
      <c r="CC74" s="8"/>
      <c r="CD74" s="7">
        <f>SUM(CD75:CD77)</f>
        <v>1039966.2</v>
      </c>
      <c r="CE74" s="8"/>
      <c r="CF74" s="7">
        <v>1070305.6599999999</v>
      </c>
      <c r="CG74" s="8"/>
      <c r="CH74" s="7">
        <v>1133347.6200000001</v>
      </c>
      <c r="CI74" s="8"/>
      <c r="CJ74" s="7">
        <v>1197322.3</v>
      </c>
      <c r="CK74" s="8"/>
      <c r="CL74" s="7">
        <v>1189155.68</v>
      </c>
      <c r="CM74" s="8"/>
      <c r="CN74" s="7">
        <v>1164226.76</v>
      </c>
      <c r="CO74" s="8"/>
      <c r="CP74" s="7">
        <v>1076394.32</v>
      </c>
      <c r="CQ74" s="6"/>
      <c r="CR74" s="7">
        <v>1031204.07</v>
      </c>
      <c r="CS74" s="8"/>
      <c r="CT74" s="7">
        <v>1020118.26</v>
      </c>
      <c r="CU74" s="8"/>
      <c r="CV74" s="7">
        <v>693419.21</v>
      </c>
      <c r="CW74" s="6"/>
      <c r="CX74" s="7">
        <v>655148.12</v>
      </c>
      <c r="CY74" s="6"/>
      <c r="CZ74" s="7">
        <v>667322.56999999995</v>
      </c>
      <c r="DA74" s="8"/>
      <c r="DB74" s="7">
        <v>809710.61</v>
      </c>
      <c r="DC74" s="8"/>
    </row>
    <row r="75" spans="2:107">
      <c r="B75" s="23" t="s">
        <v>42</v>
      </c>
      <c r="C75" s="24"/>
      <c r="D75" s="7"/>
      <c r="E75" s="24"/>
      <c r="F75" s="7"/>
      <c r="G75" s="24"/>
      <c r="H75" s="7"/>
      <c r="I75" s="24"/>
      <c r="J75" s="7">
        <v>0</v>
      </c>
      <c r="K75" s="24"/>
      <c r="L75" s="7">
        <v>0</v>
      </c>
      <c r="M75" s="24"/>
      <c r="N75" s="7">
        <v>0</v>
      </c>
      <c r="O75" s="24"/>
      <c r="P75" s="7">
        <v>0</v>
      </c>
      <c r="Q75" s="24"/>
      <c r="R75" s="7">
        <v>0</v>
      </c>
      <c r="S75" s="24"/>
      <c r="T75" s="7">
        <v>0</v>
      </c>
      <c r="U75" s="24"/>
      <c r="V75" s="7">
        <v>0</v>
      </c>
      <c r="W75" s="24"/>
      <c r="X75" s="7">
        <v>0</v>
      </c>
      <c r="Y75" s="24"/>
      <c r="Z75" s="7">
        <v>0</v>
      </c>
      <c r="AA75" s="24"/>
      <c r="AB75" s="7">
        <v>0</v>
      </c>
      <c r="AC75" s="24"/>
      <c r="AD75" s="7">
        <v>0</v>
      </c>
      <c r="AE75" s="24"/>
      <c r="AF75" s="7">
        <v>0</v>
      </c>
      <c r="AG75" s="24"/>
      <c r="AH75" s="7">
        <v>0</v>
      </c>
      <c r="AI75" s="24"/>
      <c r="AJ75" s="7">
        <v>0</v>
      </c>
      <c r="AK75" s="24"/>
      <c r="AL75" s="7">
        <v>0</v>
      </c>
      <c r="AM75" s="24"/>
      <c r="AN75" s="7">
        <v>0</v>
      </c>
      <c r="AO75" s="24"/>
      <c r="AP75" s="7">
        <v>0</v>
      </c>
      <c r="AQ75" s="24"/>
      <c r="AR75" s="7">
        <v>0</v>
      </c>
      <c r="AS75" s="24"/>
      <c r="AT75" s="7">
        <v>0</v>
      </c>
      <c r="AU75" s="24"/>
      <c r="AV75" s="7">
        <v>0</v>
      </c>
      <c r="AW75" s="24"/>
      <c r="AX75" s="7">
        <v>0</v>
      </c>
      <c r="AY75" s="24"/>
      <c r="AZ75" s="7">
        <v>0</v>
      </c>
      <c r="BA75" s="24"/>
      <c r="BB75" s="7">
        <v>0</v>
      </c>
      <c r="BC75" s="24"/>
      <c r="BD75" s="7">
        <v>0</v>
      </c>
      <c r="BE75" s="24"/>
      <c r="BF75" s="7">
        <v>0</v>
      </c>
      <c r="BG75" s="24"/>
      <c r="BH75" s="7">
        <v>0</v>
      </c>
      <c r="BI75" s="24"/>
      <c r="BJ75" s="7">
        <v>0</v>
      </c>
      <c r="BK75" s="24"/>
      <c r="BL75" s="7">
        <v>0</v>
      </c>
      <c r="BM75" s="24"/>
      <c r="BN75" s="7">
        <v>0</v>
      </c>
      <c r="BO75" s="24"/>
      <c r="BP75" s="7">
        <v>0</v>
      </c>
      <c r="BQ75" s="24"/>
      <c r="BR75" s="7">
        <v>0</v>
      </c>
      <c r="BS75" s="24"/>
      <c r="BT75" s="7">
        <v>0</v>
      </c>
      <c r="BU75" s="24"/>
      <c r="BV75" s="7">
        <v>0</v>
      </c>
      <c r="BW75" s="24"/>
      <c r="BX75" s="7">
        <v>0</v>
      </c>
      <c r="BY75" s="24"/>
      <c r="BZ75" s="7">
        <v>0</v>
      </c>
      <c r="CA75" s="24"/>
      <c r="CB75" s="7">
        <v>0</v>
      </c>
      <c r="CC75" s="24"/>
      <c r="CD75" s="7">
        <v>0</v>
      </c>
      <c r="CE75" s="24"/>
      <c r="CF75" s="7">
        <v>0</v>
      </c>
      <c r="CG75" s="24"/>
      <c r="CH75" s="7">
        <v>0</v>
      </c>
      <c r="CI75" s="24"/>
      <c r="CJ75" s="7">
        <v>0</v>
      </c>
      <c r="CK75" s="24"/>
      <c r="CL75" s="7">
        <v>0</v>
      </c>
      <c r="CM75" s="24"/>
      <c r="CN75" s="7">
        <v>0</v>
      </c>
      <c r="CO75" s="24"/>
      <c r="CP75" s="7">
        <v>0</v>
      </c>
      <c r="CQ75" s="6"/>
      <c r="CR75" s="7">
        <v>0</v>
      </c>
      <c r="CS75" s="24"/>
      <c r="CT75" s="7">
        <v>0</v>
      </c>
      <c r="CU75" s="24"/>
      <c r="CV75" s="7">
        <v>0</v>
      </c>
      <c r="CW75" s="6"/>
      <c r="CX75" s="7">
        <v>0</v>
      </c>
      <c r="CY75" s="6"/>
      <c r="CZ75" s="7">
        <v>0</v>
      </c>
      <c r="DA75" s="8"/>
      <c r="DB75" s="7">
        <v>0</v>
      </c>
      <c r="DC75" s="24"/>
    </row>
    <row r="76" spans="2:107">
      <c r="B76" s="23" t="s">
        <v>291</v>
      </c>
      <c r="C76" s="24"/>
      <c r="D76" s="7"/>
      <c r="E76" s="24"/>
      <c r="F76" s="7"/>
      <c r="G76" s="24"/>
      <c r="H76" s="7"/>
      <c r="I76" s="24"/>
      <c r="J76" s="7">
        <v>3577852.56</v>
      </c>
      <c r="K76" s="24"/>
      <c r="L76" s="7">
        <v>3902337.25</v>
      </c>
      <c r="M76" s="24"/>
      <c r="N76" s="7">
        <v>2950432.76</v>
      </c>
      <c r="O76" s="24"/>
      <c r="P76" s="7">
        <v>2911333.06</v>
      </c>
      <c r="Q76" s="24"/>
      <c r="R76" s="7">
        <v>2508926.21</v>
      </c>
      <c r="S76" s="24"/>
      <c r="T76" s="7">
        <v>2689097.51</v>
      </c>
      <c r="U76" s="24"/>
      <c r="V76" s="7">
        <v>2419606.86</v>
      </c>
      <c r="W76" s="24"/>
      <c r="X76" s="7">
        <v>1850416.7</v>
      </c>
      <c r="Y76" s="24"/>
      <c r="Z76" s="7">
        <v>1900211.43</v>
      </c>
      <c r="AA76" s="24"/>
      <c r="AB76" s="7">
        <v>2355071.86</v>
      </c>
      <c r="AC76" s="24"/>
      <c r="AD76" s="7">
        <v>3154374.49</v>
      </c>
      <c r="AE76" s="24"/>
      <c r="AF76" s="7">
        <v>2973902</v>
      </c>
      <c r="AG76" s="24"/>
      <c r="AH76" s="7">
        <v>2862923.89</v>
      </c>
      <c r="AI76" s="24"/>
      <c r="AJ76" s="7">
        <v>2235431.7999999998</v>
      </c>
      <c r="AK76" s="24"/>
      <c r="AL76" s="7">
        <v>2139490.04</v>
      </c>
      <c r="AM76" s="24"/>
      <c r="AN76" s="7">
        <v>2210489.1</v>
      </c>
      <c r="AO76" s="24"/>
      <c r="AP76" s="7">
        <v>1995680.37</v>
      </c>
      <c r="AQ76" s="24"/>
      <c r="AR76" s="7">
        <v>2135682.3199999998</v>
      </c>
      <c r="AS76" s="24"/>
      <c r="AT76" s="7">
        <v>1199363.6299999999</v>
      </c>
      <c r="AU76" s="24"/>
      <c r="AV76" s="7">
        <v>1117766.95</v>
      </c>
      <c r="AW76" s="24"/>
      <c r="AX76" s="7">
        <v>936831.14</v>
      </c>
      <c r="AY76" s="24"/>
      <c r="AZ76" s="7">
        <v>116154.03</v>
      </c>
      <c r="BA76" s="24"/>
      <c r="BB76" s="7">
        <v>164335.35999999999</v>
      </c>
      <c r="BC76" s="24"/>
      <c r="BD76" s="7">
        <v>293898.23999999999</v>
      </c>
      <c r="BE76" s="24"/>
      <c r="BF76" s="7">
        <v>385973.65</v>
      </c>
      <c r="BG76" s="24"/>
      <c r="BH76" s="7">
        <v>583784.91</v>
      </c>
      <c r="BI76" s="24"/>
      <c r="BJ76" s="7">
        <v>656240.05000000005</v>
      </c>
      <c r="BK76" s="24"/>
      <c r="BL76" s="7">
        <v>660340.51</v>
      </c>
      <c r="BM76" s="24"/>
      <c r="BN76" s="7">
        <v>709019.41</v>
      </c>
      <c r="BO76" s="24"/>
      <c r="BP76" s="7">
        <v>556486.48</v>
      </c>
      <c r="BQ76" s="24"/>
      <c r="BR76" s="7">
        <v>531519.91</v>
      </c>
      <c r="BS76" s="24"/>
      <c r="BT76" s="7">
        <v>549155.78</v>
      </c>
      <c r="BU76" s="24"/>
      <c r="BV76" s="7">
        <v>531681.44999999995</v>
      </c>
      <c r="BW76" s="24"/>
      <c r="BX76" s="7">
        <v>684434.1</v>
      </c>
      <c r="BY76" s="24"/>
      <c r="BZ76" s="7">
        <v>804760.29</v>
      </c>
      <c r="CA76" s="24"/>
      <c r="CB76" s="7">
        <v>949651.74</v>
      </c>
      <c r="CC76" s="24"/>
      <c r="CD76" s="7">
        <v>1039966.2</v>
      </c>
      <c r="CE76" s="24"/>
      <c r="CF76" s="7">
        <v>1070305.6599999999</v>
      </c>
      <c r="CG76" s="24"/>
      <c r="CH76" s="7">
        <v>1133347.6200000001</v>
      </c>
      <c r="CI76" s="24"/>
      <c r="CJ76" s="7">
        <v>1197322.3</v>
      </c>
      <c r="CK76" s="24"/>
      <c r="CL76" s="7">
        <v>1189155.68</v>
      </c>
      <c r="CM76" s="24"/>
      <c r="CN76" s="7">
        <v>1164226.76</v>
      </c>
      <c r="CO76" s="24"/>
      <c r="CP76" s="7">
        <v>1076394.32</v>
      </c>
      <c r="CQ76" s="6"/>
      <c r="CR76" s="7">
        <v>1031204.07</v>
      </c>
      <c r="CS76" s="24"/>
      <c r="CT76" s="7">
        <v>1020118.26</v>
      </c>
      <c r="CU76" s="24"/>
      <c r="CV76" s="7">
        <v>693419.21</v>
      </c>
      <c r="CW76" s="6"/>
      <c r="CX76" s="7">
        <v>655148.12</v>
      </c>
      <c r="CY76" s="6"/>
      <c r="CZ76" s="7">
        <v>667322.56999999995</v>
      </c>
      <c r="DA76" s="8"/>
      <c r="DB76" s="7">
        <v>809710.61</v>
      </c>
      <c r="DC76" s="24"/>
    </row>
    <row r="77" spans="2:107" s="13" customFormat="1">
      <c r="B77" s="23" t="s">
        <v>43</v>
      </c>
      <c r="C77" s="24"/>
      <c r="D77" s="7"/>
      <c r="E77" s="24"/>
      <c r="F77" s="7"/>
      <c r="G77" s="24"/>
      <c r="H77" s="7"/>
      <c r="I77" s="24"/>
      <c r="J77" s="7">
        <v>0</v>
      </c>
      <c r="K77" s="24"/>
      <c r="L77" s="7">
        <v>0</v>
      </c>
      <c r="M77" s="24"/>
      <c r="N77" s="7">
        <v>0</v>
      </c>
      <c r="O77" s="24"/>
      <c r="P77" s="7">
        <v>0</v>
      </c>
      <c r="Q77" s="24"/>
      <c r="R77" s="7">
        <v>169592.06</v>
      </c>
      <c r="S77" s="24"/>
      <c r="T77" s="7">
        <v>0</v>
      </c>
      <c r="U77" s="24"/>
      <c r="V77" s="7">
        <v>34384.46</v>
      </c>
      <c r="W77" s="24"/>
      <c r="X77" s="7">
        <v>469519.45</v>
      </c>
      <c r="Y77" s="24"/>
      <c r="Z77" s="7">
        <v>270132.02</v>
      </c>
      <c r="AA77" s="24"/>
      <c r="AB77" s="7">
        <v>0</v>
      </c>
      <c r="AC77" s="24"/>
      <c r="AD77" s="7">
        <v>0</v>
      </c>
      <c r="AE77" s="24"/>
      <c r="AF77" s="7">
        <v>0</v>
      </c>
      <c r="AG77" s="24"/>
      <c r="AH77" s="7">
        <v>0</v>
      </c>
      <c r="AI77" s="24"/>
      <c r="AJ77" s="7">
        <v>0</v>
      </c>
      <c r="AK77" s="24"/>
      <c r="AL77" s="7">
        <v>0</v>
      </c>
      <c r="AM77" s="24"/>
      <c r="AN77" s="7">
        <v>0</v>
      </c>
      <c r="AO77" s="24"/>
      <c r="AP77" s="7">
        <v>0</v>
      </c>
      <c r="AQ77" s="24"/>
      <c r="AR77" s="7">
        <v>0</v>
      </c>
      <c r="AS77" s="24"/>
      <c r="AT77" s="7">
        <v>0</v>
      </c>
      <c r="AU77" s="24"/>
      <c r="AV77" s="7">
        <v>0</v>
      </c>
      <c r="AW77" s="24"/>
      <c r="AX77" s="7">
        <v>0</v>
      </c>
      <c r="AY77" s="24"/>
      <c r="AZ77" s="7">
        <v>0</v>
      </c>
      <c r="BA77" s="24"/>
      <c r="BB77" s="7">
        <v>0</v>
      </c>
      <c r="BC77" s="24"/>
      <c r="BD77" s="7">
        <v>0</v>
      </c>
      <c r="BE77" s="24"/>
      <c r="BF77" s="7">
        <v>0</v>
      </c>
      <c r="BG77" s="24"/>
      <c r="BH77" s="7">
        <v>0</v>
      </c>
      <c r="BI77" s="24"/>
      <c r="BJ77" s="7">
        <v>0</v>
      </c>
      <c r="BK77" s="24"/>
      <c r="BL77" s="7">
        <v>0</v>
      </c>
      <c r="BM77" s="24"/>
      <c r="BN77" s="7">
        <v>0</v>
      </c>
      <c r="BO77" s="24"/>
      <c r="BP77" s="7">
        <v>0</v>
      </c>
      <c r="BQ77" s="24"/>
      <c r="BR77" s="7">
        <v>0</v>
      </c>
      <c r="BS77" s="24"/>
      <c r="BT77" s="7">
        <v>0</v>
      </c>
      <c r="BU77" s="24"/>
      <c r="BV77" s="7">
        <v>0</v>
      </c>
      <c r="BW77" s="24"/>
      <c r="BX77" s="7">
        <v>0</v>
      </c>
      <c r="BY77" s="24"/>
      <c r="BZ77" s="7">
        <v>0</v>
      </c>
      <c r="CA77" s="24"/>
      <c r="CB77" s="7">
        <v>0</v>
      </c>
      <c r="CC77" s="24"/>
      <c r="CD77" s="7">
        <v>0</v>
      </c>
      <c r="CE77" s="24"/>
      <c r="CF77" s="7">
        <v>0</v>
      </c>
      <c r="CG77" s="24"/>
      <c r="CH77" s="7">
        <v>0</v>
      </c>
      <c r="CI77" s="24"/>
      <c r="CJ77" s="7">
        <v>0</v>
      </c>
      <c r="CK77" s="24"/>
      <c r="CL77" s="7">
        <v>0</v>
      </c>
      <c r="CM77" s="24"/>
      <c r="CN77" s="7">
        <v>0</v>
      </c>
      <c r="CO77" s="24"/>
      <c r="CP77" s="7">
        <v>0</v>
      </c>
      <c r="CQ77" s="12"/>
      <c r="CR77" s="7">
        <v>0</v>
      </c>
      <c r="CS77" s="24"/>
      <c r="CT77" s="7">
        <v>0</v>
      </c>
      <c r="CU77" s="24"/>
      <c r="CV77" s="7">
        <v>0</v>
      </c>
      <c r="CW77" s="12"/>
      <c r="CX77" s="7">
        <v>0</v>
      </c>
      <c r="CY77" s="12"/>
      <c r="CZ77" s="7">
        <v>0</v>
      </c>
      <c r="DA77" s="8"/>
      <c r="DB77" s="7">
        <v>0</v>
      </c>
      <c r="DC77" s="24"/>
    </row>
    <row r="78" spans="2:107">
      <c r="B78" s="8" t="s">
        <v>44</v>
      </c>
      <c r="C78" s="8"/>
      <c r="D78" s="7"/>
      <c r="E78" s="8"/>
      <c r="F78" s="7"/>
      <c r="G78" s="8"/>
      <c r="H78" s="7"/>
      <c r="I78" s="8"/>
      <c r="J78" s="7">
        <v>732198.58</v>
      </c>
      <c r="K78" s="8"/>
      <c r="L78" s="7">
        <v>732198.58</v>
      </c>
      <c r="M78" s="8"/>
      <c r="N78" s="7">
        <v>546968.17000000004</v>
      </c>
      <c r="O78" s="8"/>
      <c r="P78" s="7">
        <v>546968.17000000004</v>
      </c>
      <c r="Q78" s="8"/>
      <c r="R78" s="7">
        <v>546968.17000000004</v>
      </c>
      <c r="S78" s="8"/>
      <c r="T78" s="7">
        <v>546968.17000000004</v>
      </c>
      <c r="U78" s="8"/>
      <c r="V78" s="7">
        <v>572238.75</v>
      </c>
      <c r="W78" s="8"/>
      <c r="X78" s="7">
        <v>572238.75</v>
      </c>
      <c r="Y78" s="8"/>
      <c r="Z78" s="7">
        <v>572238.75</v>
      </c>
      <c r="AA78" s="8"/>
      <c r="AB78" s="7">
        <v>572238.75</v>
      </c>
      <c r="AC78" s="8"/>
      <c r="AD78" s="7">
        <v>492124.45</v>
      </c>
      <c r="AE78" s="8"/>
      <c r="AF78" s="7">
        <v>492124.45</v>
      </c>
      <c r="AG78" s="8"/>
      <c r="AH78" s="7">
        <v>492124.45</v>
      </c>
      <c r="AI78" s="8"/>
      <c r="AJ78" s="7">
        <v>492124.45</v>
      </c>
      <c r="AK78" s="8"/>
      <c r="AL78" s="7">
        <v>381568.33</v>
      </c>
      <c r="AM78" s="8"/>
      <c r="AN78" s="7">
        <v>381568.33</v>
      </c>
      <c r="AO78" s="8"/>
      <c r="AP78" s="7">
        <v>381568.33</v>
      </c>
      <c r="AQ78" s="8"/>
      <c r="AR78" s="7">
        <v>381568.33</v>
      </c>
      <c r="AS78" s="8"/>
      <c r="AT78" s="7">
        <v>423831.7</v>
      </c>
      <c r="AU78" s="8"/>
      <c r="AV78" s="7">
        <v>423831.7</v>
      </c>
      <c r="AW78" s="8"/>
      <c r="AX78" s="7">
        <v>423831.7</v>
      </c>
      <c r="AY78" s="8"/>
      <c r="AZ78" s="7">
        <v>423831.7</v>
      </c>
      <c r="BA78" s="8"/>
      <c r="BB78" s="7">
        <v>437344.95</v>
      </c>
      <c r="BC78" s="8"/>
      <c r="BD78" s="7">
        <v>437344.95</v>
      </c>
      <c r="BE78" s="8"/>
      <c r="BF78" s="7">
        <v>437344.95</v>
      </c>
      <c r="BG78" s="8"/>
      <c r="BH78" s="7">
        <v>437344.95</v>
      </c>
      <c r="BI78" s="8"/>
      <c r="BJ78" s="7">
        <v>366680.01</v>
      </c>
      <c r="BK78" s="8"/>
      <c r="BL78" s="7">
        <v>366680.01</v>
      </c>
      <c r="BM78" s="8"/>
      <c r="BN78" s="7">
        <v>366680.01</v>
      </c>
      <c r="BO78" s="8"/>
      <c r="BP78" s="7">
        <v>366680.01</v>
      </c>
      <c r="BQ78" s="8"/>
      <c r="BR78" s="7">
        <v>366680.01</v>
      </c>
      <c r="BS78" s="8"/>
      <c r="BT78" s="7">
        <v>366680.01</v>
      </c>
      <c r="BU78" s="8"/>
      <c r="BV78" s="7">
        <v>366680.01</v>
      </c>
      <c r="BW78" s="8"/>
      <c r="BX78" s="7">
        <v>319658.53000000003</v>
      </c>
      <c r="BY78" s="8"/>
      <c r="BZ78" s="7">
        <v>319658.53000000003</v>
      </c>
      <c r="CA78" s="8"/>
      <c r="CB78" s="7">
        <v>319658.53000000003</v>
      </c>
      <c r="CC78" s="8"/>
      <c r="CD78" s="7">
        <v>319658.53000000003</v>
      </c>
      <c r="CE78" s="8"/>
      <c r="CF78" s="7">
        <v>304895.86</v>
      </c>
      <c r="CG78" s="8"/>
      <c r="CH78" s="7">
        <v>304895.86</v>
      </c>
      <c r="CI78" s="8"/>
      <c r="CJ78" s="7">
        <v>304895.86</v>
      </c>
      <c r="CK78" s="8"/>
      <c r="CL78" s="7">
        <v>304895.86</v>
      </c>
      <c r="CM78" s="8"/>
      <c r="CN78" s="7">
        <v>245344.6</v>
      </c>
      <c r="CO78" s="8"/>
      <c r="CP78" s="7">
        <v>245344.6</v>
      </c>
      <c r="CR78" s="7">
        <v>245344.6</v>
      </c>
      <c r="CS78" s="8"/>
      <c r="CT78" s="7">
        <v>245344.6</v>
      </c>
      <c r="CU78" s="8"/>
      <c r="CV78" s="7">
        <v>230356.95</v>
      </c>
      <c r="CX78" s="7">
        <v>230356.95</v>
      </c>
      <c r="CZ78" s="7">
        <v>230356.95</v>
      </c>
      <c r="DA78" s="8"/>
      <c r="DB78" s="7">
        <v>201768.01</v>
      </c>
      <c r="DC78" s="8"/>
    </row>
    <row r="79" spans="2:107">
      <c r="B79" s="8" t="s">
        <v>52</v>
      </c>
      <c r="C79" s="8"/>
      <c r="D79" s="7"/>
      <c r="E79" s="8"/>
      <c r="F79" s="7"/>
      <c r="G79" s="8"/>
      <c r="H79" s="7"/>
      <c r="I79" s="8"/>
      <c r="J79" s="7">
        <v>3112654</v>
      </c>
      <c r="K79" s="8"/>
      <c r="L79" s="7">
        <v>4407214</v>
      </c>
      <c r="M79" s="8"/>
      <c r="N79" s="7">
        <v>0</v>
      </c>
      <c r="O79" s="8"/>
      <c r="P79" s="7">
        <v>0</v>
      </c>
      <c r="Q79" s="8"/>
      <c r="R79" s="7">
        <v>8239697</v>
      </c>
      <c r="S79" s="8"/>
      <c r="T79" s="7">
        <v>1767083</v>
      </c>
      <c r="U79" s="8"/>
      <c r="V79" s="7">
        <v>0</v>
      </c>
      <c r="W79" s="8"/>
      <c r="X79" s="7">
        <v>283062</v>
      </c>
      <c r="Y79" s="8"/>
      <c r="Z79" s="7">
        <v>826935</v>
      </c>
      <c r="AA79" s="8"/>
      <c r="AB79" s="7">
        <v>0</v>
      </c>
      <c r="AC79" s="8"/>
      <c r="AD79" s="7">
        <v>0</v>
      </c>
      <c r="AE79" s="8"/>
      <c r="AF79" s="7">
        <v>798797</v>
      </c>
      <c r="AG79" s="8"/>
      <c r="AH79" s="7">
        <v>0</v>
      </c>
      <c r="AI79" s="8"/>
      <c r="AJ79" s="7">
        <v>634239</v>
      </c>
      <c r="AK79" s="8"/>
      <c r="AL79" s="7">
        <v>0</v>
      </c>
      <c r="AM79" s="8"/>
      <c r="AN79" s="7">
        <v>0</v>
      </c>
      <c r="AO79" s="8"/>
      <c r="AP79" s="7">
        <v>504224</v>
      </c>
      <c r="AQ79" s="8"/>
      <c r="AR79" s="7">
        <v>537299</v>
      </c>
      <c r="AS79" s="8"/>
      <c r="AT79" s="7">
        <v>24585</v>
      </c>
      <c r="AU79" s="8"/>
      <c r="AV79" s="7">
        <v>211806</v>
      </c>
      <c r="AW79" s="8"/>
      <c r="AX79" s="7">
        <v>0</v>
      </c>
      <c r="AY79" s="8"/>
      <c r="AZ79" s="7">
        <v>329522</v>
      </c>
      <c r="BA79" s="8"/>
      <c r="BB79" s="7">
        <v>948</v>
      </c>
      <c r="BC79" s="8"/>
      <c r="BD79" s="7">
        <v>338211</v>
      </c>
      <c r="BE79" s="8"/>
      <c r="BF79" s="7">
        <v>1442026</v>
      </c>
      <c r="BG79" s="8"/>
      <c r="BH79" s="7">
        <v>0</v>
      </c>
      <c r="BI79" s="8"/>
      <c r="BJ79" s="7">
        <v>0</v>
      </c>
      <c r="BK79" s="8"/>
      <c r="BL79" s="7">
        <v>0</v>
      </c>
      <c r="BM79" s="8"/>
      <c r="BN79" s="7">
        <v>0</v>
      </c>
      <c r="BO79" s="8"/>
      <c r="BP79" s="7">
        <v>0</v>
      </c>
      <c r="BQ79" s="8"/>
      <c r="BR79" s="7">
        <v>0</v>
      </c>
      <c r="BS79" s="8"/>
      <c r="BT79" s="7">
        <v>0</v>
      </c>
      <c r="BU79" s="8"/>
      <c r="BV79" s="7">
        <v>0</v>
      </c>
      <c r="BW79" s="8"/>
      <c r="BX79" s="7">
        <v>0</v>
      </c>
      <c r="BY79" s="8"/>
      <c r="BZ79" s="7">
        <v>0</v>
      </c>
      <c r="CA79" s="8"/>
      <c r="CB79" s="7">
        <v>0</v>
      </c>
      <c r="CC79" s="8"/>
      <c r="CD79" s="7">
        <v>786350</v>
      </c>
      <c r="CE79" s="8"/>
      <c r="CF79" s="7">
        <v>0</v>
      </c>
      <c r="CG79" s="8"/>
      <c r="CH79" s="7">
        <v>0</v>
      </c>
      <c r="CI79" s="8"/>
      <c r="CJ79" s="7">
        <v>0</v>
      </c>
      <c r="CK79" s="8"/>
      <c r="CL79" s="7">
        <v>0</v>
      </c>
      <c r="CM79" s="8"/>
      <c r="CN79" s="7">
        <v>0</v>
      </c>
      <c r="CO79" s="8"/>
      <c r="CP79" s="7">
        <v>0</v>
      </c>
      <c r="CR79" s="7">
        <v>0</v>
      </c>
      <c r="CS79" s="8"/>
      <c r="CT79" s="7">
        <v>792431</v>
      </c>
      <c r="CU79" s="8"/>
      <c r="CV79" s="7">
        <v>0</v>
      </c>
      <c r="CX79" s="7">
        <v>0</v>
      </c>
      <c r="CZ79" s="7">
        <v>52847</v>
      </c>
      <c r="DA79" s="8"/>
      <c r="DB79" s="7">
        <v>0</v>
      </c>
      <c r="DC79" s="8"/>
    </row>
    <row r="80" spans="2:107">
      <c r="B80" s="8" t="s">
        <v>53</v>
      </c>
      <c r="C80" s="8"/>
      <c r="D80" s="7"/>
      <c r="E80" s="8"/>
      <c r="F80" s="7"/>
      <c r="G80" s="8"/>
      <c r="H80" s="7"/>
      <c r="I80" s="8"/>
      <c r="J80" s="7">
        <v>0</v>
      </c>
      <c r="K80" s="8"/>
      <c r="L80" s="7">
        <v>0</v>
      </c>
      <c r="M80" s="8"/>
      <c r="N80" s="7">
        <v>0</v>
      </c>
      <c r="O80" s="8"/>
      <c r="P80" s="7">
        <v>0</v>
      </c>
      <c r="Q80" s="8"/>
      <c r="R80" s="7">
        <v>0</v>
      </c>
      <c r="S80" s="8"/>
      <c r="T80" s="7">
        <v>0</v>
      </c>
      <c r="U80" s="8"/>
      <c r="V80" s="7">
        <v>84617</v>
      </c>
      <c r="W80" s="8"/>
      <c r="X80" s="7">
        <v>84617</v>
      </c>
      <c r="Y80" s="8"/>
      <c r="Z80" s="7">
        <v>84617</v>
      </c>
      <c r="AA80" s="8"/>
      <c r="AB80" s="7">
        <v>84617</v>
      </c>
      <c r="AC80" s="8"/>
      <c r="AD80" s="7">
        <v>84617</v>
      </c>
      <c r="AE80" s="8"/>
      <c r="AF80" s="7">
        <v>84617</v>
      </c>
      <c r="AG80" s="8"/>
      <c r="AH80" s="7">
        <v>84617</v>
      </c>
      <c r="AI80" s="8"/>
      <c r="AJ80" s="7">
        <v>84617</v>
      </c>
      <c r="AK80" s="8"/>
      <c r="AL80" s="7">
        <v>84617</v>
      </c>
      <c r="AM80" s="8"/>
      <c r="AN80" s="7">
        <v>84617</v>
      </c>
      <c r="AO80" s="8"/>
      <c r="AP80" s="7">
        <v>84617</v>
      </c>
      <c r="AQ80" s="8"/>
      <c r="AR80" s="7">
        <v>84617</v>
      </c>
      <c r="AS80" s="8"/>
      <c r="AT80" s="7">
        <v>84617</v>
      </c>
      <c r="AU80" s="8"/>
      <c r="AV80" s="7">
        <v>84617</v>
      </c>
      <c r="AW80" s="8"/>
      <c r="AX80" s="7">
        <v>84617</v>
      </c>
      <c r="AY80" s="8"/>
      <c r="AZ80" s="7">
        <v>84617</v>
      </c>
      <c r="BA80" s="8"/>
      <c r="BB80" s="7">
        <v>84617</v>
      </c>
      <c r="BC80" s="8"/>
      <c r="BD80" s="7">
        <v>84617</v>
      </c>
      <c r="BE80" s="8"/>
      <c r="BF80" s="7">
        <v>84617</v>
      </c>
      <c r="BG80" s="8"/>
      <c r="BH80" s="7">
        <v>84617</v>
      </c>
      <c r="BI80" s="8"/>
      <c r="BJ80" s="7">
        <v>84617</v>
      </c>
      <c r="BK80" s="8"/>
      <c r="BL80" s="7">
        <v>84617</v>
      </c>
      <c r="BM80" s="8"/>
      <c r="BN80" s="7">
        <v>84617</v>
      </c>
      <c r="BO80" s="8"/>
      <c r="BP80" s="7">
        <v>84617</v>
      </c>
      <c r="BQ80" s="8"/>
      <c r="BR80" s="7">
        <v>84617</v>
      </c>
      <c r="BS80" s="8"/>
      <c r="BT80" s="7">
        <v>84617</v>
      </c>
      <c r="BU80" s="8"/>
      <c r="BV80" s="7">
        <v>92339</v>
      </c>
      <c r="BW80" s="8"/>
      <c r="BX80" s="7">
        <v>80000</v>
      </c>
      <c r="BY80" s="8"/>
      <c r="BZ80" s="7">
        <v>80000</v>
      </c>
      <c r="CA80" s="8"/>
      <c r="CB80" s="7">
        <v>80000</v>
      </c>
      <c r="CC80" s="8"/>
      <c r="CD80" s="7">
        <v>80000</v>
      </c>
      <c r="CE80" s="8"/>
      <c r="CF80" s="7">
        <v>0</v>
      </c>
      <c r="CG80" s="8"/>
      <c r="CH80" s="7">
        <v>0</v>
      </c>
      <c r="CI80" s="8"/>
      <c r="CJ80" s="7">
        <v>0</v>
      </c>
      <c r="CK80" s="8"/>
      <c r="CL80" s="7">
        <v>0</v>
      </c>
      <c r="CM80" s="8"/>
      <c r="CN80" s="7">
        <v>0</v>
      </c>
      <c r="CO80" s="8"/>
      <c r="CP80" s="7">
        <v>0</v>
      </c>
      <c r="CR80" s="7">
        <v>0</v>
      </c>
      <c r="CS80" s="8"/>
      <c r="CT80" s="7">
        <v>0</v>
      </c>
      <c r="CU80" s="8"/>
      <c r="CV80" s="7">
        <v>0</v>
      </c>
      <c r="CX80" s="7">
        <v>0</v>
      </c>
      <c r="CZ80" s="7">
        <v>0</v>
      </c>
      <c r="DA80" s="8"/>
      <c r="DB80" s="7">
        <v>0</v>
      </c>
      <c r="DC80" s="8"/>
    </row>
    <row r="81" spans="2:107">
      <c r="B81" s="9" t="s">
        <v>47</v>
      </c>
      <c r="C81" s="9"/>
      <c r="D81" s="7"/>
      <c r="E81" s="9"/>
      <c r="F81" s="7"/>
      <c r="G81" s="9"/>
      <c r="H81" s="7"/>
      <c r="I81" s="9"/>
      <c r="J81" s="7">
        <v>29091625.330000002</v>
      </c>
      <c r="K81" s="9"/>
      <c r="L81" s="7">
        <v>28459379.640000001</v>
      </c>
      <c r="M81" s="9"/>
      <c r="N81" s="7">
        <v>32951610.949999999</v>
      </c>
      <c r="O81" s="9"/>
      <c r="P81" s="7">
        <v>28041729.240000002</v>
      </c>
      <c r="Q81" s="9"/>
      <c r="R81" s="7">
        <v>16510286.930000002</v>
      </c>
      <c r="S81" s="9"/>
      <c r="T81" s="7">
        <v>7928351.3900000006</v>
      </c>
      <c r="U81" s="9"/>
      <c r="V81" s="7">
        <v>5339268.3</v>
      </c>
      <c r="W81" s="9"/>
      <c r="X81" s="7">
        <v>2673914.9</v>
      </c>
      <c r="Y81" s="9"/>
      <c r="Z81" s="7">
        <v>2445543.87</v>
      </c>
      <c r="AA81" s="9"/>
      <c r="AB81" s="7">
        <v>4385686.8600000003</v>
      </c>
      <c r="AC81" s="9"/>
      <c r="AD81" s="7">
        <v>2803585.43</v>
      </c>
      <c r="AE81" s="9"/>
      <c r="AF81" s="7">
        <v>2804937.11</v>
      </c>
      <c r="AG81" s="9"/>
      <c r="AH81" s="7">
        <v>2694833.62</v>
      </c>
      <c r="AI81" s="9"/>
      <c r="AJ81" s="7">
        <v>2644165.0499999998</v>
      </c>
      <c r="AK81" s="9"/>
      <c r="AL81" s="7">
        <v>2805677.24</v>
      </c>
      <c r="AM81" s="9"/>
      <c r="AN81" s="7">
        <v>2346173.9000000004</v>
      </c>
      <c r="AO81" s="9"/>
      <c r="AP81" s="7">
        <v>2031843.25</v>
      </c>
      <c r="AQ81" s="9"/>
      <c r="AR81" s="7">
        <v>1879509.8399999999</v>
      </c>
      <c r="AS81" s="9"/>
      <c r="AT81" s="7">
        <v>1955376.69</v>
      </c>
      <c r="AU81" s="9"/>
      <c r="AV81" s="7">
        <v>1696618.79</v>
      </c>
      <c r="AW81" s="9"/>
      <c r="AX81" s="7">
        <v>1584813.28</v>
      </c>
      <c r="AY81" s="9"/>
      <c r="AZ81" s="7">
        <v>1384435.59</v>
      </c>
      <c r="BA81" s="9"/>
      <c r="BB81" s="7">
        <v>969355.19</v>
      </c>
      <c r="BC81" s="9"/>
      <c r="BD81" s="7">
        <v>825912.30999999994</v>
      </c>
      <c r="BE81" s="9"/>
      <c r="BF81" s="7">
        <v>1075794.6400000001</v>
      </c>
      <c r="BG81" s="9"/>
      <c r="BH81" s="7">
        <v>624598.32999999996</v>
      </c>
      <c r="BI81" s="9"/>
      <c r="BJ81" s="7">
        <v>512892.11</v>
      </c>
      <c r="BK81" s="9"/>
      <c r="BL81" s="7">
        <v>875616.62</v>
      </c>
      <c r="BM81" s="9"/>
      <c r="BN81" s="7">
        <v>1822223.08</v>
      </c>
      <c r="BO81" s="9"/>
      <c r="BP81" s="7">
        <v>1831117.07</v>
      </c>
      <c r="BQ81" s="9"/>
      <c r="BR81" s="7">
        <v>2114706.4700000002</v>
      </c>
      <c r="BS81" s="9"/>
      <c r="BT81" s="7">
        <v>1404305.16</v>
      </c>
      <c r="BU81" s="9"/>
      <c r="BV81" s="7">
        <v>1693356.03</v>
      </c>
      <c r="BW81" s="9"/>
      <c r="BX81" s="7">
        <v>2352334.1</v>
      </c>
      <c r="BY81" s="9"/>
      <c r="BZ81" s="7">
        <v>2695375.45</v>
      </c>
      <c r="CA81" s="9"/>
      <c r="CB81" s="7">
        <v>4211249.51</v>
      </c>
      <c r="CC81" s="9"/>
      <c r="CD81" s="7">
        <v>1668286.11</v>
      </c>
      <c r="CE81" s="9"/>
      <c r="CF81" s="7">
        <v>1679505.32</v>
      </c>
      <c r="CG81" s="9"/>
      <c r="CH81" s="7">
        <v>1439362.79</v>
      </c>
      <c r="CI81" s="9"/>
      <c r="CJ81" s="7">
        <v>1438645.2</v>
      </c>
      <c r="CK81" s="9"/>
      <c r="CL81" s="7">
        <v>1453903.03</v>
      </c>
      <c r="CM81" s="9"/>
      <c r="CN81" s="7">
        <v>900110.82999999961</v>
      </c>
      <c r="CO81" s="9"/>
      <c r="CP81" s="7">
        <v>975376.68000000063</v>
      </c>
      <c r="CR81" s="7">
        <v>100107.58999999985</v>
      </c>
      <c r="CS81" s="9"/>
      <c r="CT81" s="7">
        <v>76544.2300000002</v>
      </c>
      <c r="CU81" s="9"/>
      <c r="CV81" s="7">
        <v>2308547.8099999996</v>
      </c>
      <c r="CX81" s="7">
        <v>2320718.9300000002</v>
      </c>
      <c r="CZ81" s="7">
        <v>35442.52999999997</v>
      </c>
      <c r="DA81" s="8"/>
      <c r="DB81" s="7">
        <v>0</v>
      </c>
      <c r="DC81" s="9"/>
    </row>
    <row r="82" spans="2:107">
      <c r="B82" s="9"/>
      <c r="C82" s="9"/>
      <c r="D82" s="7"/>
      <c r="E82" s="9"/>
      <c r="F82" s="7"/>
      <c r="G82" s="9"/>
      <c r="H82" s="7"/>
      <c r="I82" s="9"/>
      <c r="J82" s="7"/>
      <c r="K82" s="9"/>
      <c r="L82" s="7"/>
      <c r="M82" s="9"/>
      <c r="N82" s="7"/>
      <c r="O82" s="9"/>
      <c r="P82" s="7"/>
      <c r="Q82" s="9"/>
      <c r="R82" s="7"/>
      <c r="S82" s="9"/>
      <c r="T82" s="7"/>
      <c r="U82" s="9"/>
      <c r="V82" s="7"/>
      <c r="W82" s="9"/>
      <c r="X82" s="7"/>
      <c r="Y82" s="9"/>
      <c r="Z82" s="7"/>
      <c r="AA82" s="9"/>
      <c r="AB82" s="7">
        <v>0</v>
      </c>
      <c r="AC82" s="9"/>
      <c r="AD82" s="7">
        <v>0</v>
      </c>
      <c r="AE82" s="9"/>
      <c r="AF82" s="7">
        <v>0</v>
      </c>
      <c r="AG82" s="9"/>
      <c r="AH82" s="7">
        <v>0</v>
      </c>
      <c r="AI82" s="9"/>
      <c r="AJ82" s="7"/>
      <c r="AK82" s="9"/>
      <c r="AL82" s="7"/>
      <c r="AM82" s="9"/>
      <c r="AN82" s="7"/>
      <c r="AO82" s="9"/>
      <c r="AP82" s="7"/>
      <c r="AQ82" s="9"/>
      <c r="AR82" s="7"/>
      <c r="AS82" s="9"/>
      <c r="AT82" s="7"/>
      <c r="AU82" s="9"/>
      <c r="AV82" s="7"/>
      <c r="AW82" s="9"/>
      <c r="AX82" s="7"/>
      <c r="AY82" s="9"/>
      <c r="AZ82" s="7"/>
      <c r="BA82" s="9"/>
      <c r="BB82" s="7">
        <v>0</v>
      </c>
      <c r="BC82" s="9"/>
      <c r="BD82" s="7">
        <v>0</v>
      </c>
      <c r="BE82" s="9"/>
      <c r="BF82" s="7">
        <v>0</v>
      </c>
      <c r="BG82" s="9"/>
      <c r="BH82" s="7">
        <v>0</v>
      </c>
      <c r="BI82" s="9"/>
      <c r="BJ82" s="7">
        <v>0</v>
      </c>
      <c r="BK82" s="9"/>
      <c r="BL82" s="7">
        <v>0</v>
      </c>
      <c r="BM82" s="9"/>
      <c r="BN82" s="7">
        <v>0</v>
      </c>
      <c r="BO82" s="9"/>
      <c r="BP82" s="7">
        <v>0</v>
      </c>
      <c r="BQ82" s="9"/>
      <c r="BR82" s="7"/>
      <c r="BS82" s="9"/>
      <c r="BT82" s="7"/>
      <c r="BU82" s="9"/>
      <c r="BV82" s="7"/>
      <c r="BW82" s="9"/>
      <c r="BX82" s="7"/>
      <c r="BY82" s="9"/>
      <c r="BZ82" s="7"/>
      <c r="CA82" s="9"/>
      <c r="CB82" s="7"/>
      <c r="CC82" s="9"/>
      <c r="CD82" s="7"/>
      <c r="CE82" s="9"/>
      <c r="CF82" s="7"/>
      <c r="CG82" s="9"/>
      <c r="CH82" s="7"/>
      <c r="CI82" s="9"/>
      <c r="CJ82" s="7"/>
      <c r="CK82" s="9"/>
      <c r="CL82" s="7"/>
      <c r="CM82" s="9"/>
      <c r="CN82" s="7"/>
      <c r="CO82" s="9"/>
      <c r="CP82" s="18"/>
      <c r="CQ82" s="25"/>
      <c r="CR82" s="7"/>
      <c r="CS82" s="9"/>
      <c r="CT82" s="7"/>
      <c r="CU82" s="9"/>
      <c r="CV82" s="18"/>
      <c r="CW82" s="25"/>
      <c r="CX82" s="7"/>
      <c r="CY82" s="25"/>
      <c r="CZ82" s="7"/>
      <c r="DA82" s="9"/>
      <c r="DB82" s="7"/>
      <c r="DC82" s="9"/>
    </row>
    <row r="83" spans="2:107" ht="18">
      <c r="B83" s="9" t="s">
        <v>54</v>
      </c>
      <c r="C83" s="9"/>
      <c r="D83" s="7"/>
      <c r="E83" s="9"/>
      <c r="F83" s="7"/>
      <c r="G83" s="9"/>
      <c r="H83" s="7"/>
      <c r="I83" s="9"/>
      <c r="J83" s="7">
        <v>0</v>
      </c>
      <c r="K83" s="9"/>
      <c r="L83" s="7">
        <v>0</v>
      </c>
      <c r="M83" s="9"/>
      <c r="N83" s="7">
        <v>0</v>
      </c>
      <c r="O83" s="9"/>
      <c r="P83" s="7">
        <v>0</v>
      </c>
      <c r="Q83" s="9"/>
      <c r="R83" s="7">
        <v>0</v>
      </c>
      <c r="S83" s="9"/>
      <c r="T83" s="7">
        <v>0</v>
      </c>
      <c r="U83" s="9"/>
      <c r="V83" s="7">
        <v>0</v>
      </c>
      <c r="W83" s="9"/>
      <c r="X83" s="7">
        <v>0</v>
      </c>
      <c r="Y83" s="9"/>
      <c r="Z83" s="7">
        <v>0</v>
      </c>
      <c r="AA83" s="9"/>
      <c r="AB83" s="7">
        <v>0</v>
      </c>
      <c r="AC83" s="9"/>
      <c r="AD83" s="7">
        <v>0</v>
      </c>
      <c r="AE83" s="9"/>
      <c r="AF83" s="7">
        <v>0</v>
      </c>
      <c r="AG83" s="9"/>
      <c r="AH83" s="7">
        <v>0</v>
      </c>
      <c r="AI83" s="9"/>
      <c r="AJ83" s="7">
        <v>0</v>
      </c>
      <c r="AK83" s="9"/>
      <c r="AL83" s="7">
        <v>0</v>
      </c>
      <c r="AM83" s="9"/>
      <c r="AN83" s="7">
        <v>0</v>
      </c>
      <c r="AO83" s="9"/>
      <c r="AP83" s="7">
        <v>0</v>
      </c>
      <c r="AQ83" s="9"/>
      <c r="AR83" s="7"/>
      <c r="AS83" s="9"/>
      <c r="AT83" s="7">
        <v>0</v>
      </c>
      <c r="AU83" s="9"/>
      <c r="AV83" s="7">
        <v>0</v>
      </c>
      <c r="AW83" s="9"/>
      <c r="AX83" s="7">
        <v>0</v>
      </c>
      <c r="AY83" s="9"/>
      <c r="AZ83" s="7">
        <v>0</v>
      </c>
      <c r="BA83" s="9"/>
      <c r="BB83" s="7">
        <v>0</v>
      </c>
      <c r="BC83" s="9"/>
      <c r="BD83" s="7">
        <v>0</v>
      </c>
      <c r="BE83" s="9"/>
      <c r="BF83" s="7">
        <v>0</v>
      </c>
      <c r="BG83" s="9"/>
      <c r="BH83" s="7">
        <v>0</v>
      </c>
      <c r="BI83" s="9"/>
      <c r="BJ83" s="7">
        <v>0</v>
      </c>
      <c r="BK83" s="9"/>
      <c r="BL83" s="7">
        <v>0</v>
      </c>
      <c r="BM83" s="9"/>
      <c r="BN83" s="7">
        <v>0</v>
      </c>
      <c r="BO83" s="9"/>
      <c r="BP83" s="7">
        <v>0</v>
      </c>
      <c r="BQ83" s="9"/>
      <c r="BR83" s="7">
        <v>0</v>
      </c>
      <c r="BS83" s="9"/>
      <c r="BT83" s="7">
        <v>0</v>
      </c>
      <c r="BU83" s="9"/>
      <c r="BV83" s="7">
        <v>0</v>
      </c>
      <c r="BW83" s="9"/>
      <c r="BX83" s="7">
        <v>0</v>
      </c>
      <c r="BY83" s="9"/>
      <c r="BZ83" s="7"/>
      <c r="CA83" s="9"/>
      <c r="CB83" s="7"/>
      <c r="CC83" s="9"/>
      <c r="CD83" s="7">
        <v>0</v>
      </c>
      <c r="CE83" s="9"/>
      <c r="CF83" s="7">
        <v>0</v>
      </c>
      <c r="CG83" s="9"/>
      <c r="CH83" s="7">
        <v>0</v>
      </c>
      <c r="CI83" s="9"/>
      <c r="CJ83" s="7">
        <v>0</v>
      </c>
      <c r="CK83" s="9"/>
      <c r="CL83" s="7">
        <v>0</v>
      </c>
      <c r="CM83" s="9"/>
      <c r="CN83" s="7">
        <v>0</v>
      </c>
      <c r="CO83" s="9"/>
      <c r="CP83" s="7">
        <v>0</v>
      </c>
      <c r="CQ83" s="8"/>
      <c r="CR83" s="7">
        <v>0</v>
      </c>
      <c r="CS83" s="9"/>
      <c r="CT83" s="7">
        <v>0</v>
      </c>
      <c r="CU83" s="9"/>
      <c r="CV83" s="7">
        <v>0</v>
      </c>
      <c r="CW83" s="8"/>
      <c r="CX83" s="7">
        <v>0</v>
      </c>
      <c r="CY83" s="8"/>
      <c r="CZ83" s="7">
        <v>0</v>
      </c>
      <c r="DA83" s="8"/>
      <c r="DB83" s="7">
        <v>0</v>
      </c>
      <c r="DC83" s="9"/>
    </row>
    <row r="84" spans="2:107">
      <c r="B84" s="19"/>
      <c r="C84" s="19"/>
      <c r="D84" s="18"/>
      <c r="E84" s="19"/>
      <c r="F84" s="18"/>
      <c r="G84" s="19"/>
      <c r="H84" s="18"/>
      <c r="I84" s="19"/>
      <c r="J84" s="18"/>
      <c r="K84" s="19"/>
      <c r="L84" s="18"/>
      <c r="M84" s="19"/>
      <c r="N84" s="18"/>
      <c r="O84" s="19"/>
      <c r="P84" s="18"/>
      <c r="Q84" s="19"/>
      <c r="R84" s="18"/>
      <c r="S84" s="19"/>
      <c r="T84" s="18"/>
      <c r="U84" s="19"/>
      <c r="V84" s="18"/>
      <c r="W84" s="19"/>
      <c r="X84" s="18"/>
      <c r="Y84" s="19"/>
      <c r="Z84" s="18"/>
      <c r="AA84" s="19"/>
      <c r="AB84" s="18"/>
      <c r="AC84" s="19"/>
      <c r="AD84" s="18"/>
      <c r="AE84" s="19"/>
      <c r="AF84" s="18"/>
      <c r="AG84" s="19"/>
      <c r="AH84" s="18"/>
      <c r="AI84" s="19"/>
      <c r="AJ84" s="18"/>
      <c r="AK84" s="19"/>
      <c r="AL84" s="18"/>
      <c r="AM84" s="19"/>
      <c r="AN84" s="18"/>
      <c r="AO84" s="19"/>
      <c r="AP84" s="18"/>
      <c r="AQ84" s="19"/>
      <c r="AR84" s="18"/>
      <c r="AS84" s="19"/>
      <c r="AT84" s="18"/>
      <c r="AU84" s="19"/>
      <c r="AV84" s="18"/>
      <c r="AW84" s="19"/>
      <c r="AX84" s="18"/>
      <c r="AY84" s="19"/>
      <c r="AZ84" s="18"/>
      <c r="BA84" s="19"/>
      <c r="BB84" s="18"/>
      <c r="BC84" s="19"/>
      <c r="BD84" s="18"/>
      <c r="BE84" s="19"/>
      <c r="BF84" s="18"/>
      <c r="BG84" s="19"/>
      <c r="BH84" s="18"/>
      <c r="BI84" s="19"/>
      <c r="BJ84" s="18"/>
      <c r="BK84" s="19"/>
      <c r="BL84" s="18"/>
      <c r="BM84" s="19"/>
      <c r="BN84" s="18"/>
      <c r="BO84" s="19"/>
      <c r="BP84" s="18"/>
      <c r="BQ84" s="19"/>
      <c r="BR84" s="18"/>
      <c r="BS84" s="19"/>
      <c r="BT84" s="18"/>
      <c r="BU84" s="19"/>
      <c r="BV84" s="18"/>
      <c r="BW84" s="19"/>
      <c r="BX84" s="18"/>
      <c r="BY84" s="19"/>
      <c r="BZ84" s="18"/>
      <c r="CA84" s="19"/>
      <c r="CB84" s="18"/>
      <c r="CC84" s="19"/>
      <c r="CD84" s="18"/>
      <c r="CE84" s="19"/>
      <c r="CF84" s="18"/>
      <c r="CG84" s="19"/>
      <c r="CH84" s="18"/>
      <c r="CI84" s="19"/>
      <c r="CJ84" s="18"/>
      <c r="CK84" s="19"/>
      <c r="CL84" s="18"/>
      <c r="CM84" s="19"/>
      <c r="CN84" s="18"/>
      <c r="CO84" s="19"/>
      <c r="CP84" s="18"/>
      <c r="CQ84" s="8"/>
      <c r="CR84" s="18"/>
      <c r="CS84" s="19"/>
      <c r="CT84" s="18"/>
      <c r="CU84" s="19"/>
      <c r="CV84" s="18"/>
      <c r="CW84" s="8"/>
      <c r="CX84" s="18"/>
      <c r="CY84" s="8"/>
      <c r="CZ84" s="18"/>
      <c r="DA84" s="19"/>
      <c r="DB84" s="18"/>
      <c r="DC84" s="19"/>
    </row>
    <row r="85" spans="2:107">
      <c r="B85" s="6" t="s">
        <v>55</v>
      </c>
      <c r="C85" s="6"/>
      <c r="D85" s="11"/>
      <c r="E85" s="6"/>
      <c r="F85" s="11"/>
      <c r="G85" s="6"/>
      <c r="H85" s="11"/>
      <c r="I85" s="6"/>
      <c r="J85" s="11">
        <f>SUM(J72:J74,J78:J81,J83,J76:J77)</f>
        <v>155991654.06000003</v>
      </c>
      <c r="K85" s="6"/>
      <c r="L85" s="11">
        <f>SUM(L72:L74,L78:L81,L83,L76:L77)</f>
        <v>108257366.88999999</v>
      </c>
      <c r="M85" s="6"/>
      <c r="N85" s="11">
        <f>SUM(N72:N74,N78:N81,N83,N76:N77)</f>
        <v>88174095.850000009</v>
      </c>
      <c r="O85" s="6"/>
      <c r="P85" s="11">
        <f>SUM(P72:P74,P78:P81,P83,P76:P77)</f>
        <v>81397074.890000015</v>
      </c>
      <c r="Q85" s="6"/>
      <c r="R85" s="11">
        <f>SUM(R72:R74,R78:R81,R83,R76:R77)</f>
        <v>128629458.68000001</v>
      </c>
      <c r="S85" s="6"/>
      <c r="T85" s="11">
        <f>SUM(T72:T74,T78:T81,T83,T76:T77)</f>
        <v>80760064.290000007</v>
      </c>
      <c r="U85" s="6"/>
      <c r="V85" s="11">
        <f>SUM(V72:V74,V78:V81,V83,V76:V77)</f>
        <v>49737716.800000004</v>
      </c>
      <c r="W85" s="6"/>
      <c r="X85" s="11">
        <f>SUM(X72:X74,X78:X81,X83,X76:X77)</f>
        <v>57112830.940000005</v>
      </c>
      <c r="Y85" s="6"/>
      <c r="Z85" s="11">
        <f>SUM(Z72:Z74,Z78:Z81,Z83,Z76:Z77)</f>
        <v>44462058.689999998</v>
      </c>
      <c r="AA85" s="6"/>
      <c r="AB85" s="11">
        <f>SUM(AB72:AB74,AB78:AB81,AB83,AB76)</f>
        <v>71367380.199999988</v>
      </c>
      <c r="AC85" s="6"/>
      <c r="AD85" s="11">
        <f>SUM(AD72:AD74,AD78:AD81,AD83,AD76)</f>
        <v>40846772.110000007</v>
      </c>
      <c r="AE85" s="6"/>
      <c r="AF85" s="11">
        <f>SUM(AF72:AF74,AF78:AF81,AF83,AF76)</f>
        <v>43788499.019999996</v>
      </c>
      <c r="AG85" s="6"/>
      <c r="AH85" s="11">
        <f>SUM(AH72:AH74,AH78:AH81,AH83,AH76)</f>
        <v>49682678.06000001</v>
      </c>
      <c r="AI85" s="6"/>
      <c r="AJ85" s="11">
        <f>SUM(AJ72:AJ74,AJ78:AJ81,AJ83,AJ76)</f>
        <v>47852659.420000002</v>
      </c>
      <c r="AK85" s="6"/>
      <c r="AL85" s="11">
        <f>SUM(AL72:AL74,AL78:AL81,AL83,AL76)</f>
        <v>26978048.869999997</v>
      </c>
      <c r="AM85" s="6"/>
      <c r="AN85" s="11">
        <f>SUM(AN72:AN74,AN78:AN81,AN83,AN76)</f>
        <v>21961765.829999998</v>
      </c>
      <c r="AO85" s="6"/>
      <c r="AP85" s="11">
        <f>SUM(AP72:AP74,AP78:AP81,AP83,AP76)</f>
        <v>27645060.640000001</v>
      </c>
      <c r="AQ85" s="6"/>
      <c r="AR85" s="11">
        <f>SUM(AR72:AR74,AR78:AR81,AR83)</f>
        <v>29643039.57</v>
      </c>
      <c r="AS85" s="6"/>
      <c r="AT85" s="11">
        <f>SUM(AT72:AT74,AT78:AT81,AT83)</f>
        <v>16542090.519999998</v>
      </c>
      <c r="AU85" s="6"/>
      <c r="AV85" s="11">
        <f>SUM(AV72:AV74,AV78:AV81,AV83)</f>
        <v>36106169.850000001</v>
      </c>
      <c r="AW85" s="6"/>
      <c r="AX85" s="11">
        <f>SUM(AX72:AX74,AX78:AX81,AX83)</f>
        <v>43678012.600000009</v>
      </c>
      <c r="AY85" s="6"/>
      <c r="AZ85" s="11">
        <f>SUM(AZ72:AZ74,AZ78:AZ81,AZ83)</f>
        <v>26194180.449999999</v>
      </c>
      <c r="BA85" s="6"/>
      <c r="BB85" s="11">
        <f>SUM(BB72:BB74,BB78:BB81,BB83)</f>
        <v>15159833.029999996</v>
      </c>
      <c r="BC85" s="6"/>
      <c r="BD85" s="11">
        <f>SUM(BD72:BD74,BD78:BD81,BD83)</f>
        <v>24947895.259999994</v>
      </c>
      <c r="BE85" s="6"/>
      <c r="BF85" s="11">
        <f>SUM(BF72:BF74,BF78:BF81,BF83,BF76)</f>
        <v>43145704.779999994</v>
      </c>
      <c r="BG85" s="6"/>
      <c r="BH85" s="11">
        <f>SUM(BH72:BH74,BH78:BH81,BH83)</f>
        <v>22412742.109999996</v>
      </c>
      <c r="BI85" s="6"/>
      <c r="BJ85" s="11">
        <f>SUM(BJ72:BJ74,BJ78:BJ81,BJ83)</f>
        <v>14150171.35</v>
      </c>
      <c r="BK85" s="6"/>
      <c r="BL85" s="11">
        <f>SUM(BL72:BL74,BL78:BL81,BL83)</f>
        <v>11822239.879999997</v>
      </c>
      <c r="BM85" s="6"/>
      <c r="BN85" s="11">
        <f>SUM(BN72:BN74,BN78:BN81,BN83)</f>
        <v>30890634.75</v>
      </c>
      <c r="BO85" s="6"/>
      <c r="BP85" s="11">
        <f>SUM(BP72:BP74,BP78:BP81,BP83)</f>
        <v>20358193.940000005</v>
      </c>
      <c r="BQ85" s="6"/>
      <c r="BR85" s="11">
        <f>SUM(BR72:BR74,BR78:BR81,BR83)</f>
        <v>17449603.940000001</v>
      </c>
      <c r="BS85" s="6"/>
      <c r="BT85" s="11">
        <f>SUM(BT72:BT74,BT78:BT81,BT83)</f>
        <v>15597350.08</v>
      </c>
      <c r="BU85" s="6"/>
      <c r="BV85" s="11">
        <f>SUM(BV72:BV74,BV78:BV81,BV83)</f>
        <v>19665574.940000001</v>
      </c>
      <c r="BW85" s="6"/>
      <c r="BX85" s="11">
        <f>SUM(BX72:BX74,BX78:BX81,BX83)</f>
        <v>22322893.030000005</v>
      </c>
      <c r="BY85" s="6"/>
      <c r="BZ85" s="11">
        <f>SUM(BZ72:BZ74,BZ78:BZ81,BZ83)</f>
        <v>18853718.359999996</v>
      </c>
      <c r="CA85" s="6"/>
      <c r="CB85" s="11">
        <f>SUM(CB72:CB74,CB78:CB81,CB83)</f>
        <v>17547475.799999997</v>
      </c>
      <c r="CC85" s="6"/>
      <c r="CD85" s="11">
        <f>SUM(CD72:CD74,CD78:CD81,CD83)</f>
        <v>34911389.710000001</v>
      </c>
      <c r="CE85" s="6"/>
      <c r="CF85" s="11">
        <f>SUM(CF72:CF74,CF78:CF81,CF83)</f>
        <v>37926800.859999992</v>
      </c>
      <c r="CG85" s="6"/>
      <c r="CH85" s="11">
        <f>SUM(CH72:CH74,CH78:CH81,CH83)</f>
        <v>11655167.869999997</v>
      </c>
      <c r="CI85" s="6"/>
      <c r="CJ85" s="11">
        <f>SUM(CJ72:CJ74,CJ78:CJ81,CJ83)</f>
        <v>20617273.190000001</v>
      </c>
      <c r="CK85" s="6"/>
      <c r="CL85" s="11">
        <f>SUM(CL72:CL74,CL78:CL81,CL83)</f>
        <v>33327312.32</v>
      </c>
      <c r="CM85" s="6"/>
      <c r="CN85" s="11">
        <f>SUM(CN72:CN74,CN78:CN81,CN83)</f>
        <v>29713072.247043844</v>
      </c>
      <c r="CO85" s="6"/>
      <c r="CP85" s="11">
        <f>SUM(CP72:CP74,CP78:CP81,CP83)</f>
        <v>22679765.123249933</v>
      </c>
      <c r="CQ85" s="26"/>
      <c r="CR85" s="11">
        <f>SUM(CR72:CR74,CR78:CR81,CR83)</f>
        <v>18886932.211043913</v>
      </c>
      <c r="CS85" s="6"/>
      <c r="CT85" s="11">
        <f>SUM(CT72:CT74,CT78:CT81,CT83)</f>
        <v>32564313.614279717</v>
      </c>
      <c r="CU85" s="6"/>
      <c r="CV85" s="11">
        <f>SUM(CV72:CV74,CV78:CV81,CV83)</f>
        <v>37054015.107002534</v>
      </c>
      <c r="CW85" s="26"/>
      <c r="CX85" s="11">
        <f>SUM(CX72:CX74,CX78:CX81,CX83)</f>
        <v>18500517.993139047</v>
      </c>
      <c r="CY85" s="26"/>
      <c r="CZ85" s="11">
        <f>SUM(CZ72:CZ74,CZ78:CZ81,CZ83)</f>
        <v>32349424.128942125</v>
      </c>
      <c r="DA85" s="6"/>
      <c r="DB85" s="11">
        <f>SUM(DB72:DB74,DB78:DB81,DB83)</f>
        <v>19216422.26072279</v>
      </c>
      <c r="DC85" s="6"/>
    </row>
    <row r="86" spans="2:107">
      <c r="B86" s="6"/>
      <c r="C86" s="6"/>
      <c r="D86" s="18"/>
      <c r="E86" s="6"/>
      <c r="F86" s="18"/>
      <c r="G86" s="6"/>
      <c r="H86" s="18"/>
      <c r="I86" s="6"/>
      <c r="J86" s="18"/>
      <c r="K86" s="6"/>
      <c r="L86" s="18"/>
      <c r="M86" s="6"/>
      <c r="N86" s="18"/>
      <c r="O86" s="6"/>
      <c r="P86" s="18"/>
      <c r="Q86" s="6"/>
      <c r="R86" s="18"/>
      <c r="S86" s="6"/>
      <c r="T86" s="18"/>
      <c r="U86" s="6"/>
      <c r="V86" s="18"/>
      <c r="W86" s="6"/>
      <c r="X86" s="18"/>
      <c r="Y86" s="6"/>
      <c r="Z86" s="18"/>
      <c r="AA86" s="6"/>
      <c r="AB86" s="18"/>
      <c r="AC86" s="6"/>
      <c r="AD86" s="18"/>
      <c r="AE86" s="6"/>
      <c r="AF86" s="18"/>
      <c r="AG86" s="6"/>
      <c r="AH86" s="18"/>
      <c r="AI86" s="6"/>
      <c r="AJ86" s="18"/>
      <c r="AK86" s="6"/>
      <c r="AL86" s="18"/>
      <c r="AM86" s="6"/>
      <c r="AN86" s="18"/>
      <c r="AO86" s="6"/>
      <c r="AP86" s="18"/>
      <c r="AQ86" s="6"/>
      <c r="AR86" s="18"/>
      <c r="AS86" s="6"/>
      <c r="AT86" s="18"/>
      <c r="AU86" s="6"/>
      <c r="AV86" s="18"/>
      <c r="AW86" s="6"/>
      <c r="AX86" s="18"/>
      <c r="AY86" s="6"/>
      <c r="AZ86" s="18"/>
      <c r="BA86" s="6"/>
      <c r="BB86" s="18"/>
      <c r="BC86" s="6"/>
      <c r="BD86" s="18"/>
      <c r="BE86" s="6"/>
      <c r="BF86" s="18"/>
      <c r="BG86" s="6"/>
      <c r="BH86" s="18"/>
      <c r="BI86" s="6"/>
      <c r="BJ86" s="18"/>
      <c r="BK86" s="6"/>
      <c r="BL86" s="18"/>
      <c r="BM86" s="6"/>
      <c r="BN86" s="18"/>
      <c r="BO86" s="6"/>
      <c r="BP86" s="18"/>
      <c r="BQ86" s="6"/>
      <c r="BR86" s="18"/>
      <c r="BS86" s="6"/>
      <c r="BT86" s="18"/>
      <c r="BU86" s="6"/>
      <c r="BV86" s="18"/>
      <c r="BW86" s="6"/>
      <c r="BX86" s="18"/>
      <c r="BY86" s="6"/>
      <c r="BZ86" s="18"/>
      <c r="CA86" s="6"/>
      <c r="CB86" s="18"/>
      <c r="CC86" s="6"/>
      <c r="CD86" s="18"/>
      <c r="CE86" s="6"/>
      <c r="CF86" s="18"/>
      <c r="CG86" s="6"/>
      <c r="CH86" s="18"/>
      <c r="CI86" s="6"/>
      <c r="CJ86" s="18"/>
      <c r="CK86" s="6"/>
      <c r="CL86" s="18"/>
      <c r="CM86" s="6"/>
      <c r="CN86" s="18"/>
      <c r="CO86" s="6"/>
      <c r="CP86" s="18"/>
      <c r="CQ86" s="25"/>
      <c r="CR86" s="18"/>
      <c r="CS86" s="6"/>
      <c r="CT86" s="18"/>
      <c r="CU86" s="6"/>
      <c r="CV86" s="18"/>
      <c r="CW86" s="25"/>
      <c r="CX86" s="18"/>
      <c r="CY86" s="25"/>
      <c r="CZ86" s="18"/>
      <c r="DA86" s="6"/>
      <c r="DB86" s="18"/>
      <c r="DC86" s="6"/>
    </row>
    <row r="87" spans="2:107">
      <c r="B87" s="6" t="s">
        <v>56</v>
      </c>
      <c r="C87" s="6"/>
      <c r="D87" s="21"/>
      <c r="E87" s="6"/>
      <c r="F87" s="21"/>
      <c r="G87" s="6"/>
      <c r="H87" s="21"/>
      <c r="I87" s="6"/>
      <c r="J87" s="21">
        <f>J69+J85</f>
        <v>193425255.32000002</v>
      </c>
      <c r="K87" s="6"/>
      <c r="L87" s="21">
        <f>L69+L85</f>
        <v>143559171.06999999</v>
      </c>
      <c r="M87" s="6"/>
      <c r="N87" s="21">
        <f>N69+N85</f>
        <v>116727310.48000002</v>
      </c>
      <c r="O87" s="6"/>
      <c r="P87" s="21">
        <f>P69+P85</f>
        <v>109710285.39000002</v>
      </c>
      <c r="Q87" s="6"/>
      <c r="R87" s="21">
        <f>R69+R85</f>
        <v>154015407.61000001</v>
      </c>
      <c r="S87" s="6"/>
      <c r="T87" s="21">
        <f>T69+T85</f>
        <v>106199099.07000001</v>
      </c>
      <c r="U87" s="6"/>
      <c r="V87" s="21">
        <f>V69+V85</f>
        <v>74373844.49000001</v>
      </c>
      <c r="W87" s="6"/>
      <c r="X87" s="21">
        <f>X69+X85</f>
        <v>75051278.969999999</v>
      </c>
      <c r="Y87" s="6"/>
      <c r="Z87" s="21">
        <f>Z69+Z85</f>
        <v>62847592.049999997</v>
      </c>
      <c r="AA87" s="6"/>
      <c r="AB87" s="21">
        <f>AB69+AB85</f>
        <v>90857635.079999983</v>
      </c>
      <c r="AC87" s="6"/>
      <c r="AD87" s="21">
        <f>AD69+AD85</f>
        <v>61088305.99000001</v>
      </c>
      <c r="AE87" s="6"/>
      <c r="AF87" s="21">
        <f>AF69+AF85</f>
        <v>62698211.959999993</v>
      </c>
      <c r="AG87" s="6"/>
      <c r="AH87" s="21">
        <f>AH69+AH85</f>
        <v>69014274.020000011</v>
      </c>
      <c r="AI87" s="6"/>
      <c r="AJ87" s="21">
        <f>AJ69+AJ85</f>
        <v>63358522.150000006</v>
      </c>
      <c r="AK87" s="6"/>
      <c r="AL87" s="21">
        <f>AL69+AL85</f>
        <v>41963260.979999997</v>
      </c>
      <c r="AM87" s="6"/>
      <c r="AN87" s="21">
        <f>AN69+AN85</f>
        <v>38025757.890000001</v>
      </c>
      <c r="AO87" s="6"/>
      <c r="AP87" s="21">
        <f>AP69+AP85</f>
        <v>43723235.399999999</v>
      </c>
      <c r="AQ87" s="6"/>
      <c r="AR87" s="21">
        <f>AR69+AR85</f>
        <v>46471889.230000004</v>
      </c>
      <c r="AS87" s="6"/>
      <c r="AT87" s="21">
        <f>AT69+AT85</f>
        <v>28490627.019999996</v>
      </c>
      <c r="AU87" s="6"/>
      <c r="AV87" s="21">
        <f>AV69+AV85</f>
        <v>48233348.280000001</v>
      </c>
      <c r="AW87" s="6"/>
      <c r="AX87" s="21">
        <f>AX69+AX85</f>
        <v>55972655.590000004</v>
      </c>
      <c r="AY87" s="6"/>
      <c r="AZ87" s="21">
        <f>AZ69+AZ85</f>
        <v>37048973.359999999</v>
      </c>
      <c r="BA87" s="6"/>
      <c r="BB87" s="21">
        <f>BB69+BB85</f>
        <v>23968438.819999993</v>
      </c>
      <c r="BC87" s="6"/>
      <c r="BD87" s="21">
        <f>BD69+BD85</f>
        <v>34194791.00999999</v>
      </c>
      <c r="BE87" s="6"/>
      <c r="BF87" s="21">
        <f>BF69+BF85</f>
        <v>53685680.569999993</v>
      </c>
      <c r="BG87" s="6"/>
      <c r="BH87" s="21">
        <f>BH69+BH85</f>
        <v>27858311.169999994</v>
      </c>
      <c r="BI87" s="6"/>
      <c r="BJ87" s="21">
        <f>BJ69+BJ85</f>
        <v>29026658.32</v>
      </c>
      <c r="BK87" s="6"/>
      <c r="BL87" s="21">
        <f>BL69+BL85</f>
        <v>26642227.009999998</v>
      </c>
      <c r="BM87" s="6"/>
      <c r="BN87" s="21">
        <f>BN69+BN85</f>
        <v>45736717.980000004</v>
      </c>
      <c r="BO87" s="6"/>
      <c r="BP87" s="21">
        <f>BP69+BP85</f>
        <v>36087061.810000002</v>
      </c>
      <c r="BQ87" s="6"/>
      <c r="BR87" s="21">
        <f>BR69+BR85</f>
        <v>27522570.370000001</v>
      </c>
      <c r="BS87" s="6"/>
      <c r="BT87" s="21">
        <f>BT69+BT85</f>
        <v>27619762.229999997</v>
      </c>
      <c r="BU87" s="6"/>
      <c r="BV87" s="21">
        <f>BV69+BV85</f>
        <v>32365238.410000004</v>
      </c>
      <c r="BW87" s="6"/>
      <c r="BX87" s="21">
        <f>BX69+BX85</f>
        <v>35633357.440000005</v>
      </c>
      <c r="BY87" s="6"/>
      <c r="BZ87" s="21">
        <f>BZ69+BZ85</f>
        <v>32611925.359999996</v>
      </c>
      <c r="CA87" s="6"/>
      <c r="CB87" s="21">
        <f>CB69+CB85</f>
        <v>31894239.779999997</v>
      </c>
      <c r="CC87" s="6"/>
      <c r="CD87" s="21">
        <f>CD69+CD85</f>
        <v>46595732.760000005</v>
      </c>
      <c r="CE87" s="6"/>
      <c r="CF87" s="21">
        <f>CF69+CF85</f>
        <v>49825946.75999999</v>
      </c>
      <c r="CG87" s="6"/>
      <c r="CH87" s="21">
        <f>CH69+CH85</f>
        <v>23577287.479999997</v>
      </c>
      <c r="CI87" s="6"/>
      <c r="CJ87" s="21">
        <f>CJ69+CJ85</f>
        <v>33781851.07</v>
      </c>
      <c r="CK87" s="6"/>
      <c r="CL87" s="21">
        <f>CL69+CL85</f>
        <v>47447016.219999999</v>
      </c>
      <c r="CM87" s="6"/>
      <c r="CN87" s="21">
        <f>CN69+CN85</f>
        <v>45224577.002254203</v>
      </c>
      <c r="CO87" s="6"/>
      <c r="CP87" s="21">
        <f>CP69+CP85</f>
        <v>39334171.121211275</v>
      </c>
      <c r="CQ87" s="26"/>
      <c r="CR87" s="21">
        <f>CR69+CR85</f>
        <v>36740501.787007198</v>
      </c>
      <c r="CS87" s="6"/>
      <c r="CT87" s="21">
        <f>CT69+CT85</f>
        <v>46591865.291305885</v>
      </c>
      <c r="CU87" s="6"/>
      <c r="CV87" s="21">
        <f>CV69+CV85</f>
        <v>43141507.779256731</v>
      </c>
      <c r="CW87" s="26"/>
      <c r="CX87" s="21">
        <f>CX69+CX85</f>
        <v>25421070.924350321</v>
      </c>
      <c r="CY87" s="26"/>
      <c r="CZ87" s="21">
        <f>CZ69+CZ85</f>
        <v>40386816.49024801</v>
      </c>
      <c r="DA87" s="6"/>
      <c r="DB87" s="21">
        <f>DB69+DB85</f>
        <v>29953376.930970799</v>
      </c>
      <c r="DC87" s="6"/>
    </row>
    <row r="88" spans="2:107">
      <c r="B88" s="6"/>
      <c r="C88" s="6"/>
      <c r="D88" s="18"/>
      <c r="E88" s="6"/>
      <c r="F88" s="18"/>
      <c r="G88" s="6"/>
      <c r="H88" s="18"/>
      <c r="I88" s="6"/>
      <c r="J88" s="18"/>
      <c r="K88" s="6"/>
      <c r="L88" s="18"/>
      <c r="M88" s="6"/>
      <c r="N88" s="18"/>
      <c r="O88" s="6"/>
      <c r="P88" s="18"/>
      <c r="Q88" s="6"/>
      <c r="R88" s="18"/>
      <c r="S88" s="6"/>
      <c r="T88" s="18"/>
      <c r="U88" s="6"/>
      <c r="V88" s="18"/>
      <c r="W88" s="6"/>
      <c r="X88" s="18"/>
      <c r="Y88" s="6"/>
      <c r="Z88" s="18"/>
      <c r="AA88" s="6"/>
      <c r="AB88" s="18"/>
      <c r="AC88" s="6"/>
      <c r="AD88" s="18"/>
      <c r="AE88" s="6"/>
      <c r="AF88" s="18"/>
      <c r="AG88" s="6"/>
      <c r="AH88" s="18"/>
      <c r="AI88" s="6"/>
      <c r="AJ88" s="18"/>
      <c r="AK88" s="6"/>
      <c r="AL88" s="18"/>
      <c r="AM88" s="6"/>
      <c r="AN88" s="18"/>
      <c r="AO88" s="6"/>
      <c r="AP88" s="18"/>
      <c r="AQ88" s="6"/>
      <c r="AR88" s="18"/>
      <c r="AS88" s="6"/>
      <c r="AT88" s="18"/>
      <c r="AU88" s="6"/>
      <c r="AV88" s="18"/>
      <c r="AW88" s="6"/>
      <c r="AX88" s="18"/>
      <c r="AY88" s="6"/>
      <c r="AZ88" s="18"/>
      <c r="BA88" s="6"/>
      <c r="BB88" s="18"/>
      <c r="BC88" s="6"/>
      <c r="BD88" s="18"/>
      <c r="BE88" s="6"/>
      <c r="BF88" s="18"/>
      <c r="BG88" s="6"/>
      <c r="BH88" s="18"/>
      <c r="BI88" s="6"/>
      <c r="BJ88" s="18"/>
      <c r="BK88" s="6"/>
      <c r="BL88" s="18"/>
      <c r="BM88" s="6"/>
      <c r="BN88" s="18"/>
      <c r="BO88" s="6"/>
      <c r="BP88" s="18"/>
      <c r="BQ88" s="6"/>
      <c r="BR88" s="18"/>
      <c r="BS88" s="6"/>
      <c r="BT88" s="18"/>
      <c r="BU88" s="6"/>
      <c r="BV88" s="18"/>
      <c r="BW88" s="6"/>
      <c r="BX88" s="18"/>
      <c r="BY88" s="6"/>
      <c r="BZ88" s="18"/>
      <c r="CA88" s="6"/>
      <c r="CB88" s="18"/>
      <c r="CC88" s="6"/>
      <c r="CD88" s="18"/>
      <c r="CE88" s="6"/>
      <c r="CF88" s="18"/>
      <c r="CG88" s="6"/>
      <c r="CH88" s="18"/>
      <c r="CI88" s="6"/>
      <c r="CJ88" s="18"/>
      <c r="CK88" s="6"/>
      <c r="CL88" s="18"/>
      <c r="CM88" s="6"/>
      <c r="CN88" s="18"/>
      <c r="CO88" s="6"/>
      <c r="CP88" s="18"/>
      <c r="CQ88" s="8"/>
      <c r="CR88" s="18"/>
      <c r="CS88" s="6"/>
      <c r="CT88" s="18"/>
      <c r="CU88" s="6"/>
      <c r="CV88" s="18"/>
      <c r="CW88" s="8"/>
      <c r="CX88" s="18"/>
      <c r="CY88" s="8"/>
      <c r="CZ88" s="18"/>
      <c r="DA88" s="6"/>
      <c r="DB88" s="18"/>
      <c r="DC88" s="6"/>
    </row>
    <row r="89" spans="2:107" ht="18.75" customHeight="1" thickBot="1">
      <c r="B89" s="6" t="s">
        <v>57</v>
      </c>
      <c r="C89" s="6"/>
      <c r="D89" s="27"/>
      <c r="E89" s="6"/>
      <c r="F89" s="27"/>
      <c r="G89" s="6"/>
      <c r="H89" s="27"/>
      <c r="I89" s="6"/>
      <c r="J89" s="27">
        <f>J55+J87</f>
        <v>348550412.62</v>
      </c>
      <c r="K89" s="6"/>
      <c r="L89" s="27">
        <f>L55+L87</f>
        <v>270910746.26999998</v>
      </c>
      <c r="M89" s="6"/>
      <c r="N89" s="27">
        <f>N55+N87</f>
        <v>226178538.51000002</v>
      </c>
      <c r="O89" s="6"/>
      <c r="P89" s="27">
        <f>P55+P87</f>
        <v>212272457.13000003</v>
      </c>
      <c r="Q89" s="6"/>
      <c r="R89" s="27">
        <f>R55+R87</f>
        <v>253707512.89000002</v>
      </c>
      <c r="S89" s="6"/>
      <c r="T89" s="27">
        <f>T55+T87</f>
        <v>181902504.01000005</v>
      </c>
      <c r="U89" s="6"/>
      <c r="V89" s="27">
        <f>V55+V87</f>
        <v>141119142.21000004</v>
      </c>
      <c r="W89" s="6"/>
      <c r="X89" s="27">
        <f>X55+X87</f>
        <v>136703286.02000001</v>
      </c>
      <c r="Y89" s="6"/>
      <c r="Z89" s="27">
        <f>Z55+Z87</f>
        <v>129402457.56999999</v>
      </c>
      <c r="AA89" s="6"/>
      <c r="AB89" s="27">
        <f>AB55+AB87</f>
        <v>145771662.45999998</v>
      </c>
      <c r="AC89" s="6"/>
      <c r="AD89" s="27">
        <f>AD55+AD87</f>
        <v>114539100.03</v>
      </c>
      <c r="AE89" s="6"/>
      <c r="AF89" s="27">
        <f>AF55+AF87</f>
        <v>116895190.28</v>
      </c>
      <c r="AG89" s="6"/>
      <c r="AH89" s="27">
        <f>AH55+AH87</f>
        <v>127164500.13000001</v>
      </c>
      <c r="AI89" s="6"/>
      <c r="AJ89" s="27">
        <f>AJ55+AJ87</f>
        <v>120624991.90000001</v>
      </c>
      <c r="AK89" s="6"/>
      <c r="AL89" s="27">
        <f>AL55+AL87</f>
        <v>97544486.080000013</v>
      </c>
      <c r="AM89" s="6"/>
      <c r="AN89" s="27">
        <f>AN55+AN87</f>
        <v>95384010.75</v>
      </c>
      <c r="AO89" s="6"/>
      <c r="AP89" s="27">
        <f>AP55+AP87</f>
        <v>103568668.39</v>
      </c>
      <c r="AQ89" s="6"/>
      <c r="AR89" s="27">
        <f>AR55+AR87</f>
        <v>103181327.24000001</v>
      </c>
      <c r="AS89" s="6"/>
      <c r="AT89" s="27">
        <f>AT55+AT87</f>
        <v>83048512.309999987</v>
      </c>
      <c r="AU89" s="6"/>
      <c r="AV89" s="27">
        <f>AV55+AV87</f>
        <v>102453460.19000001</v>
      </c>
      <c r="AW89" s="6"/>
      <c r="AX89" s="27">
        <f>AX55+AX87</f>
        <v>111785707.39000002</v>
      </c>
      <c r="AY89" s="6"/>
      <c r="AZ89" s="27">
        <f>AZ55+AZ87</f>
        <v>91425222.530000016</v>
      </c>
      <c r="BA89" s="6"/>
      <c r="BB89" s="27">
        <f>BB55+BB87</f>
        <v>79086050.769999996</v>
      </c>
      <c r="BC89" s="6"/>
      <c r="BD89" s="27">
        <f>BD55+BD87</f>
        <v>89576388.539999992</v>
      </c>
      <c r="BE89" s="6"/>
      <c r="BF89" s="27">
        <f>BF55+BF87</f>
        <v>108348077.03</v>
      </c>
      <c r="BG89" s="6"/>
      <c r="BH89" s="27">
        <f>BH55+BH87</f>
        <v>75317553.199999988</v>
      </c>
      <c r="BI89" s="6"/>
      <c r="BJ89" s="27">
        <f>BJ55+BJ87</f>
        <v>85578009.819999993</v>
      </c>
      <c r="BK89" s="6"/>
      <c r="BL89" s="27">
        <f>BL55+BL87</f>
        <v>84133974.24000001</v>
      </c>
      <c r="BM89" s="6"/>
      <c r="BN89" s="27">
        <f>BN55+BN87</f>
        <v>103467478.26000001</v>
      </c>
      <c r="BO89" s="6"/>
      <c r="BP89" s="27">
        <f>BP55+BP87</f>
        <v>91111553.080000013</v>
      </c>
      <c r="BQ89" s="6"/>
      <c r="BR89" s="27">
        <f>BR55+BR87</f>
        <v>82981438.680000007</v>
      </c>
      <c r="BS89" s="6"/>
      <c r="BT89" s="27">
        <f>BT55+BT87</f>
        <v>83254918.030000001</v>
      </c>
      <c r="BU89" s="6"/>
      <c r="BV89" s="27">
        <f>BV55+BV87</f>
        <v>88299054.820000008</v>
      </c>
      <c r="BW89" s="6"/>
      <c r="BX89" s="27">
        <f>BX55+BX87</f>
        <v>88472459.63000001</v>
      </c>
      <c r="BY89" s="6"/>
      <c r="BZ89" s="27">
        <f>BZ55+BZ87</f>
        <v>85559013.939999998</v>
      </c>
      <c r="CA89" s="6"/>
      <c r="CB89" s="27">
        <f>CB55+CB87</f>
        <v>85703340.939999998</v>
      </c>
      <c r="CC89" s="6"/>
      <c r="CD89" s="27">
        <f>CD55+CD87</f>
        <v>101186452.53</v>
      </c>
      <c r="CE89" s="6"/>
      <c r="CF89" s="27">
        <f>CF55+CF87</f>
        <v>103769216.77</v>
      </c>
      <c r="CG89" s="6"/>
      <c r="CH89" s="27">
        <f>CH55+CH87</f>
        <v>75290767</v>
      </c>
      <c r="CI89" s="6"/>
      <c r="CJ89" s="27">
        <f>CJ55+CJ87</f>
        <v>88295686.140000001</v>
      </c>
      <c r="CK89" s="6"/>
      <c r="CL89" s="27">
        <f>CL55+CL87</f>
        <v>102799410.60000001</v>
      </c>
      <c r="CM89" s="6"/>
      <c r="CN89" s="27">
        <f>CN55+CN87</f>
        <v>98890754.972215623</v>
      </c>
      <c r="CO89" s="6"/>
      <c r="CP89" s="27">
        <f>CP55+CP87</f>
        <v>93286725.595748723</v>
      </c>
      <c r="CQ89" s="8"/>
      <c r="CR89" s="27">
        <f>CR55+CR87</f>
        <v>90478629.499281824</v>
      </c>
      <c r="CS89" s="6"/>
      <c r="CT89" s="27">
        <f>CT55+CT87</f>
        <v>101097145.97281492</v>
      </c>
      <c r="CU89" s="6"/>
      <c r="CV89" s="27">
        <f>CV55+CV87</f>
        <v>65081606.011448696</v>
      </c>
      <c r="CW89" s="8"/>
      <c r="CX89" s="27">
        <f>CX55+CX87</f>
        <v>45692716.574981809</v>
      </c>
      <c r="CY89" s="8"/>
      <c r="CZ89" s="27">
        <f>CZ55+CZ87</f>
        <v>61899103.741147332</v>
      </c>
      <c r="DA89" s="6"/>
      <c r="DB89" s="27">
        <f>DB55+DB87</f>
        <v>50379478.392979741</v>
      </c>
      <c r="DC89" s="6"/>
    </row>
    <row r="90" spans="2:107">
      <c r="D90" s="28"/>
      <c r="F90" s="28"/>
      <c r="H90" s="28"/>
      <c r="J90" s="28"/>
      <c r="L90" s="28"/>
      <c r="N90" s="28"/>
      <c r="P90" s="28"/>
      <c r="R90" s="28"/>
      <c r="T90" s="28"/>
      <c r="V90" s="28"/>
      <c r="X90" s="28"/>
      <c r="Z90" s="28"/>
      <c r="AB90" s="28"/>
      <c r="AD90" s="28"/>
      <c r="AF90" s="28"/>
      <c r="AH90" s="28"/>
      <c r="AJ90" s="28"/>
      <c r="AL90" s="28"/>
      <c r="AN90" s="28"/>
      <c r="AP90" s="28"/>
      <c r="AR90" s="28"/>
      <c r="AT90" s="28"/>
      <c r="AV90" s="28"/>
      <c r="AX90" s="28"/>
      <c r="AZ90" s="28"/>
      <c r="BB90" s="28"/>
      <c r="BD90" s="28"/>
      <c r="BF90" s="28"/>
      <c r="BH90" s="28"/>
      <c r="BJ90" s="28"/>
      <c r="BL90" s="28"/>
      <c r="BN90" s="28"/>
      <c r="BP90" s="28"/>
      <c r="BR90" s="28"/>
      <c r="BT90" s="28"/>
      <c r="BV90" s="28"/>
      <c r="BX90" s="28"/>
      <c r="BZ90" s="28"/>
      <c r="CB90" s="28"/>
      <c r="CD90" s="28"/>
      <c r="CF90" s="28"/>
      <c r="CH90" s="28"/>
      <c r="CJ90" s="28"/>
      <c r="CL90" s="28"/>
      <c r="CN90" s="28"/>
      <c r="CP90" s="28"/>
      <c r="CQ90" s="8"/>
      <c r="CR90" s="28"/>
      <c r="CT90" s="28"/>
      <c r="CV90" s="28"/>
      <c r="CW90" s="8"/>
      <c r="CX90" s="28"/>
      <c r="CY90" s="8"/>
      <c r="CZ90" s="28"/>
      <c r="DB90" s="28"/>
    </row>
    <row r="91" spans="2:107">
      <c r="J91" s="5">
        <f>J89-J41</f>
        <v>0</v>
      </c>
      <c r="L91" s="5">
        <f>L89-L41</f>
        <v>0</v>
      </c>
      <c r="N91" s="5">
        <f>N89-N41</f>
        <v>0</v>
      </c>
      <c r="P91" s="5">
        <f>P89-P41</f>
        <v>0</v>
      </c>
      <c r="R91" s="5">
        <f>R89-R41</f>
        <v>0</v>
      </c>
      <c r="T91" s="5">
        <f>T89-T41</f>
        <v>0</v>
      </c>
      <c r="V91" s="5">
        <f>V89-V41</f>
        <v>0</v>
      </c>
      <c r="X91" s="5">
        <f>X89-X41</f>
        <v>0</v>
      </c>
      <c r="Z91" s="5">
        <f>Z89-Z41</f>
        <v>0</v>
      </c>
      <c r="AB91" s="5">
        <f>AB89-AB41</f>
        <v>0</v>
      </c>
      <c r="AD91" s="5">
        <f>AD89-AD41</f>
        <v>0</v>
      </c>
      <c r="AF91" s="5">
        <f>AF89-AF41</f>
        <v>0</v>
      </c>
      <c r="AH91" s="5">
        <f>AH89-AH41</f>
        <v>0</v>
      </c>
      <c r="AJ91" s="5">
        <f>AJ89-AJ41</f>
        <v>0</v>
      </c>
      <c r="AL91" s="5">
        <f>AL89-AL41</f>
        <v>0</v>
      </c>
      <c r="AN91" s="5">
        <f>AN89-AN41</f>
        <v>0</v>
      </c>
      <c r="AP91" s="5">
        <f>AP89-AP41</f>
        <v>0</v>
      </c>
      <c r="AR91" s="5">
        <f>AR89-AR41</f>
        <v>0</v>
      </c>
      <c r="AT91" s="5">
        <f>AT89-AT41</f>
        <v>0</v>
      </c>
      <c r="AV91" s="5">
        <f>AV89-AV41</f>
        <v>0</v>
      </c>
      <c r="AX91" s="5">
        <f>AX89-AX41</f>
        <v>0</v>
      </c>
      <c r="AZ91" s="5">
        <f>AZ89-AZ41</f>
        <v>0</v>
      </c>
      <c r="BB91" s="5">
        <f>BB89-BB41</f>
        <v>0</v>
      </c>
      <c r="BD91" s="5">
        <f>BD89-BD41</f>
        <v>0</v>
      </c>
      <c r="BF91" s="5">
        <f>BF89-BF41</f>
        <v>0</v>
      </c>
      <c r="BH91" s="5">
        <f>BH89-BH41</f>
        <v>0</v>
      </c>
      <c r="BJ91" s="5">
        <f>BJ89-BJ41</f>
        <v>0</v>
      </c>
      <c r="BL91" s="5">
        <f>BL89-BL41</f>
        <v>0</v>
      </c>
      <c r="BN91" s="5">
        <f>BN89-BN41</f>
        <v>0</v>
      </c>
      <c r="BP91" s="5">
        <f>BP89-BP41</f>
        <v>0</v>
      </c>
      <c r="BR91" s="5">
        <f>BR89-BR41</f>
        <v>0</v>
      </c>
      <c r="BT91" s="5">
        <f>BT89-BT41</f>
        <v>0</v>
      </c>
      <c r="BV91" s="5">
        <f>BV89-BV41</f>
        <v>0</v>
      </c>
      <c r="BX91" s="5">
        <f>BX89-BX41</f>
        <v>0</v>
      </c>
      <c r="BZ91" s="5">
        <f>BZ89-BZ41</f>
        <v>0</v>
      </c>
      <c r="CB91" s="5">
        <f>CB89-CB41</f>
        <v>0</v>
      </c>
      <c r="CD91" s="5">
        <f>CD89-CD41</f>
        <v>0</v>
      </c>
      <c r="CF91" s="5">
        <f>CF89-CF41</f>
        <v>0</v>
      </c>
      <c r="CH91" s="5">
        <f>CH89-CH41</f>
        <v>0</v>
      </c>
      <c r="CJ91" s="5">
        <f>CJ89-CJ41</f>
        <v>0</v>
      </c>
      <c r="CL91" s="5">
        <f>CL89-CL41</f>
        <v>0</v>
      </c>
      <c r="CN91" s="5">
        <f>CN89-CN41</f>
        <v>0</v>
      </c>
      <c r="CP91" s="5">
        <f>CP89-CP41</f>
        <v>-2.4000108242034912E-3</v>
      </c>
      <c r="CR91" s="5">
        <f>CR89-CR41</f>
        <v>3.9195418357849121E-3</v>
      </c>
      <c r="CT91" s="5">
        <f>CT89-CT41</f>
        <v>3.6908388137817383E-3</v>
      </c>
      <c r="CV91" s="5">
        <f>CV89-CV41</f>
        <v>2.7006641030311584E-3</v>
      </c>
      <c r="CX91" s="5">
        <f>CX89-CX41</f>
        <v>9.0067088603973389E-4</v>
      </c>
      <c r="CZ91" s="5">
        <f>CZ89-CZ41</f>
        <v>-1.524016261100769E-3</v>
      </c>
      <c r="DB91" s="5">
        <f>DB89-DB41</f>
        <v>-5.0000846385955811E-4</v>
      </c>
    </row>
    <row r="92" spans="2:107">
      <c r="B92" s="8"/>
      <c r="C92" s="8"/>
      <c r="D92" s="7"/>
      <c r="F92" s="7"/>
      <c r="G92" s="8"/>
      <c r="H92" s="7"/>
      <c r="I92" s="8"/>
      <c r="J92" s="7"/>
      <c r="K92" s="8"/>
      <c r="L92" s="7"/>
      <c r="N92" s="7"/>
      <c r="O92" s="8"/>
      <c r="P92" s="7"/>
      <c r="Q92" s="8"/>
      <c r="R92" s="7"/>
      <c r="S92" s="8"/>
      <c r="T92" s="7"/>
      <c r="V92" s="7"/>
      <c r="W92" s="8"/>
      <c r="X92" s="7"/>
      <c r="Y92" s="8"/>
      <c r="Z92" s="7"/>
      <c r="AA92" s="8"/>
      <c r="AB92" s="7"/>
      <c r="AD92" s="7"/>
      <c r="AE92" s="8"/>
      <c r="AF92" s="7"/>
      <c r="AG92" s="8"/>
      <c r="AH92" s="7"/>
      <c r="AI92" s="8"/>
      <c r="AJ92" s="7"/>
      <c r="AL92" s="7"/>
      <c r="AM92" s="8"/>
      <c r="AN92" s="7"/>
      <c r="AO92" s="8"/>
      <c r="AP92" s="7"/>
      <c r="AQ92" s="8"/>
      <c r="AR92" s="7"/>
      <c r="AT92" s="7"/>
      <c r="AU92" s="8"/>
      <c r="AV92" s="7"/>
      <c r="AW92" s="8"/>
      <c r="AX92" s="7"/>
      <c r="AY92" s="8"/>
      <c r="AZ92" s="7"/>
      <c r="BB92" s="7"/>
      <c r="BC92" s="8"/>
      <c r="BD92" s="7"/>
      <c r="BE92" s="8"/>
      <c r="BF92" s="7"/>
      <c r="BG92" s="8"/>
      <c r="BH92" s="7"/>
      <c r="BI92" s="8"/>
      <c r="BJ92" s="7"/>
      <c r="BK92" s="8"/>
      <c r="BL92" s="7"/>
      <c r="BM92" s="8"/>
      <c r="BN92" s="7"/>
      <c r="BP92" s="7"/>
      <c r="BQ92" s="8"/>
      <c r="BR92" s="7"/>
      <c r="BS92" s="8"/>
      <c r="BT92" s="7"/>
      <c r="BU92" s="8"/>
      <c r="BV92" s="7"/>
      <c r="BW92" s="8"/>
      <c r="BX92" s="7"/>
      <c r="BY92" s="8"/>
      <c r="BZ92" s="7"/>
      <c r="CA92" s="8"/>
      <c r="CB92" s="7"/>
      <c r="CD92" s="7"/>
      <c r="CE92" s="8"/>
      <c r="CF92" s="7"/>
      <c r="CG92" s="8"/>
      <c r="CH92" s="7"/>
      <c r="CI92" s="8"/>
      <c r="CJ92" s="7"/>
      <c r="CR92" s="101"/>
    </row>
    <row r="93" spans="2:107">
      <c r="B93" s="102" t="s">
        <v>190</v>
      </c>
      <c r="C93" s="100"/>
      <c r="D93" s="101"/>
      <c r="E93" s="85"/>
      <c r="F93" s="101"/>
      <c r="G93" s="100"/>
      <c r="H93" s="101"/>
      <c r="I93" s="100"/>
      <c r="J93" s="101">
        <f>L93</f>
        <v>8529129</v>
      </c>
      <c r="K93" s="100"/>
      <c r="L93" s="101">
        <f>N93</f>
        <v>8529129</v>
      </c>
      <c r="M93" s="85"/>
      <c r="N93" s="101">
        <f>P93</f>
        <v>8529129</v>
      </c>
      <c r="O93" s="100"/>
      <c r="P93" s="101">
        <f>R93</f>
        <v>8529129</v>
      </c>
      <c r="Q93" s="100"/>
      <c r="R93" s="101">
        <f>T93</f>
        <v>8529129</v>
      </c>
      <c r="S93" s="100"/>
      <c r="T93" s="101">
        <f>V93</f>
        <v>8529129</v>
      </c>
      <c r="U93" s="85"/>
      <c r="V93" s="101">
        <f>X93</f>
        <v>8529129</v>
      </c>
      <c r="W93" s="100"/>
      <c r="X93" s="101">
        <f>Z93</f>
        <v>8529129</v>
      </c>
      <c r="Y93" s="100"/>
      <c r="Z93" s="101">
        <f>AB93</f>
        <v>8529129</v>
      </c>
      <c r="AA93" s="100"/>
      <c r="AB93" s="101">
        <f>AD93</f>
        <v>8529129</v>
      </c>
      <c r="AC93" s="85"/>
      <c r="AD93" s="101">
        <f>AF93</f>
        <v>8529129</v>
      </c>
      <c r="AE93" s="100"/>
      <c r="AF93" s="101">
        <f>AH93</f>
        <v>8529129</v>
      </c>
      <c r="AG93" s="100"/>
      <c r="AH93" s="101">
        <f>AJ93</f>
        <v>8529129</v>
      </c>
      <c r="AI93" s="100"/>
      <c r="AJ93" s="101">
        <f>AL93</f>
        <v>8529129</v>
      </c>
      <c r="AK93" s="85"/>
      <c r="AL93" s="101">
        <f>AN93</f>
        <v>8529129</v>
      </c>
      <c r="AM93" s="100"/>
      <c r="AN93" s="101">
        <f>AP93</f>
        <v>8529129</v>
      </c>
      <c r="AO93" s="100"/>
      <c r="AP93" s="101">
        <f>AR93</f>
        <v>8529129</v>
      </c>
      <c r="AQ93" s="100"/>
      <c r="AR93" s="101">
        <f>AT93</f>
        <v>8529129</v>
      </c>
      <c r="AS93" s="85"/>
      <c r="AT93" s="101">
        <f>AV93</f>
        <v>8529129</v>
      </c>
      <c r="AU93" s="100"/>
      <c r="AV93" s="101">
        <f>AX93</f>
        <v>8529129</v>
      </c>
      <c r="AW93" s="100"/>
      <c r="AX93" s="101">
        <f>AZ93</f>
        <v>8529129</v>
      </c>
      <c r="AY93" s="100"/>
      <c r="AZ93" s="101">
        <f>BB93</f>
        <v>8529129</v>
      </c>
      <c r="BA93" s="85"/>
      <c r="BB93" s="101">
        <f>BD93</f>
        <v>8529129</v>
      </c>
      <c r="BC93" s="100"/>
      <c r="BD93" s="101">
        <f>BF93</f>
        <v>8529129</v>
      </c>
      <c r="BE93" s="100"/>
      <c r="BF93" s="101">
        <f>BH93</f>
        <v>8529129</v>
      </c>
      <c r="BG93" s="100"/>
      <c r="BH93" s="101">
        <f>BJ93</f>
        <v>8529129</v>
      </c>
      <c r="BI93" s="100"/>
      <c r="BJ93" s="101">
        <f>BL93</f>
        <v>8529129</v>
      </c>
      <c r="BK93" s="100"/>
      <c r="BL93" s="101">
        <f>BN93</f>
        <v>8529129</v>
      </c>
      <c r="BM93" s="100"/>
      <c r="BN93" s="101">
        <f>BP93</f>
        <v>8529129</v>
      </c>
      <c r="BO93" s="85"/>
      <c r="BP93" s="101">
        <f>BR93</f>
        <v>8529129</v>
      </c>
      <c r="BQ93" s="100"/>
      <c r="BR93" s="101">
        <f>BT93</f>
        <v>8529129</v>
      </c>
      <c r="BS93" s="100"/>
      <c r="BT93" s="101">
        <f>BV93</f>
        <v>8529129</v>
      </c>
      <c r="BU93" s="100"/>
      <c r="BV93" s="101">
        <v>8529129</v>
      </c>
      <c r="BW93" s="100"/>
      <c r="BX93" s="101" t="e">
        <f>#REF!</f>
        <v>#REF!</v>
      </c>
      <c r="BY93" s="100"/>
      <c r="BZ93" s="101">
        <v>8529129</v>
      </c>
      <c r="CA93" s="100"/>
      <c r="CB93" s="101">
        <v>8529129</v>
      </c>
      <c r="CC93" s="85"/>
      <c r="CD93" s="101">
        <v>8529129</v>
      </c>
      <c r="CE93" s="100"/>
      <c r="CF93" s="101">
        <v>8529129</v>
      </c>
      <c r="CG93" s="100"/>
      <c r="CH93" s="101">
        <v>8529129</v>
      </c>
      <c r="CI93" s="100"/>
      <c r="CJ93" s="101">
        <v>8529129</v>
      </c>
      <c r="CK93" s="85"/>
      <c r="CL93" s="101">
        <v>8529129</v>
      </c>
      <c r="CM93" s="85"/>
      <c r="CN93" s="101">
        <v>8529129</v>
      </c>
      <c r="CO93" s="85"/>
      <c r="CP93" s="101">
        <v>8529129</v>
      </c>
      <c r="CQ93" s="85"/>
      <c r="CR93" s="101">
        <v>8529129</v>
      </c>
      <c r="CS93" s="85"/>
      <c r="CT93" s="101">
        <v>6719129</v>
      </c>
      <c r="CU93" s="85"/>
      <c r="CV93" s="101">
        <v>6719129</v>
      </c>
      <c r="CW93" s="85"/>
      <c r="CX93" s="101">
        <v>6682000</v>
      </c>
      <c r="CY93" s="85"/>
      <c r="CZ93" s="101">
        <v>6682000</v>
      </c>
      <c r="DA93" s="101"/>
      <c r="DB93" s="101">
        <v>6682000</v>
      </c>
    </row>
    <row r="94" spans="2:107">
      <c r="B94" s="102" t="s">
        <v>209</v>
      </c>
      <c r="C94" s="100"/>
      <c r="D94" s="85"/>
      <c r="E94" s="85"/>
      <c r="F94" s="85"/>
      <c r="G94" s="100"/>
      <c r="H94" s="85"/>
      <c r="I94" s="100"/>
      <c r="J94" s="85">
        <f>J55/J93</f>
        <v>18.18769036087976</v>
      </c>
      <c r="K94" s="100"/>
      <c r="L94" s="85">
        <f>L55/L93</f>
        <v>14.931369334430276</v>
      </c>
      <c r="M94" s="85"/>
      <c r="N94" s="85">
        <f>N55/N93</f>
        <v>12.832638365535333</v>
      </c>
      <c r="O94" s="100"/>
      <c r="P94" s="85">
        <f>P55/P93</f>
        <v>12.024929126995266</v>
      </c>
      <c r="Q94" s="100"/>
      <c r="R94" s="85">
        <f>R55/R93</f>
        <v>11.688427420900775</v>
      </c>
      <c r="S94" s="100"/>
      <c r="T94" s="85">
        <f>T55/T93</f>
        <v>8.8758658639117805</v>
      </c>
      <c r="U94" s="85"/>
      <c r="V94" s="85">
        <f>V55/V93</f>
        <v>7.8255701983168517</v>
      </c>
      <c r="W94" s="100"/>
      <c r="X94" s="85">
        <f>X55/X93</f>
        <v>7.2284059779140408</v>
      </c>
      <c r="Y94" s="100"/>
      <c r="Z94" s="85">
        <f>Z55/Z93</f>
        <v>7.8032429243361188</v>
      </c>
      <c r="AA94" s="100"/>
      <c r="AB94" s="85">
        <f>AB55/AB93</f>
        <v>6.4384097579014234</v>
      </c>
      <c r="AC94" s="85"/>
      <c r="AD94" s="85">
        <f>AD55/AD93</f>
        <v>6.2668525754505522</v>
      </c>
      <c r="AE94" s="100"/>
      <c r="AF94" s="85">
        <f>AF55/AF93</f>
        <v>6.3543391499882347</v>
      </c>
      <c r="AG94" s="100"/>
      <c r="AH94" s="85">
        <f>AH55/AH93</f>
        <v>6.8178387394539346</v>
      </c>
      <c r="AI94" s="100"/>
      <c r="AJ94" s="85">
        <f>AJ55/AJ93</f>
        <v>6.7142224897759197</v>
      </c>
      <c r="AK94" s="85"/>
      <c r="AL94" s="85">
        <f>AL55/AL93</f>
        <v>6.5166355321862302</v>
      </c>
      <c r="AM94" s="100"/>
      <c r="AN94" s="85">
        <f>AN55/AN93</f>
        <v>6.724983624939898</v>
      </c>
      <c r="AO94" s="100"/>
      <c r="AP94" s="85">
        <f>AP55/AP93</f>
        <v>7.0165937213518523</v>
      </c>
      <c r="AQ94" s="100"/>
      <c r="AR94" s="85">
        <f>AR55/AR93</f>
        <v>6.6489131551416332</v>
      </c>
      <c r="AS94" s="85"/>
      <c r="AT94" s="85">
        <f>AT55/AT93</f>
        <v>6.3966537837568165</v>
      </c>
      <c r="AU94" s="100"/>
      <c r="AV94" s="85">
        <f>AV55/AV93</f>
        <v>6.357051453905787</v>
      </c>
      <c r="AW94" s="100"/>
      <c r="AX94" s="85">
        <f>AX55/AX93</f>
        <v>6.54381611533839</v>
      </c>
      <c r="AY94" s="100"/>
      <c r="AZ94" s="85">
        <f>AZ55/AZ93</f>
        <v>6.3753578085171441</v>
      </c>
      <c r="BA94" s="85"/>
      <c r="BB94" s="85">
        <f>BB55/BB93</f>
        <v>6.4622790850038738</v>
      </c>
      <c r="BC94" s="100"/>
      <c r="BD94" s="85">
        <f>BD55/BD93</f>
        <v>6.4932301446021032</v>
      </c>
      <c r="BE94" s="100"/>
      <c r="BF94" s="85">
        <f>BF55/BF93</f>
        <v>6.4089072237036167</v>
      </c>
      <c r="BG94" s="100"/>
      <c r="BH94" s="85">
        <f>BH55/BH93</f>
        <v>5.5643714651285014</v>
      </c>
      <c r="BI94" s="100"/>
      <c r="BJ94" s="85">
        <f>BJ55/BJ93</f>
        <v>6.6303782601951502</v>
      </c>
      <c r="BK94" s="100"/>
      <c r="BL94" s="85">
        <f>BL55/BL93</f>
        <v>6.7406352078858234</v>
      </c>
      <c r="BM94" s="100"/>
      <c r="BN94" s="85">
        <f>BN55/BN93</f>
        <v>6.7686583565566893</v>
      </c>
      <c r="BO94" s="85"/>
      <c r="BP94" s="85">
        <f>BP55/BP93</f>
        <v>6.4513611260891945</v>
      </c>
      <c r="BQ94" s="100"/>
      <c r="BR94" s="85">
        <f>BR55/BR93</f>
        <v>6.50228977777215</v>
      </c>
      <c r="BS94" s="100"/>
      <c r="BT94" s="85">
        <f>BT55/BT93</f>
        <v>6.522958651463707</v>
      </c>
      <c r="BU94" s="100"/>
      <c r="BV94" s="85">
        <f>BV55/BV93</f>
        <v>6.5579751941845412</v>
      </c>
      <c r="BW94" s="100"/>
      <c r="BX94" s="85" t="e">
        <f>BX55/BX93</f>
        <v>#REF!</v>
      </c>
      <c r="BY94" s="100"/>
      <c r="BZ94" s="85">
        <f>BZ55/BZ93</f>
        <v>6.207795494709953</v>
      </c>
      <c r="CA94" s="100"/>
      <c r="CB94" s="85">
        <f>CB55/CB93</f>
        <v>6.3088623891138242</v>
      </c>
      <c r="CC94" s="85"/>
      <c r="CD94" s="85">
        <f>CD55/CD93</f>
        <v>6.4005034711047291</v>
      </c>
      <c r="CE94" s="100"/>
      <c r="CF94" s="85">
        <f>CF55/CF93</f>
        <v>6.3245930516468922</v>
      </c>
      <c r="CG94" s="100"/>
      <c r="CH94" s="85">
        <f>CH55/CH93</f>
        <v>6.0631606720920743</v>
      </c>
      <c r="CI94" s="100"/>
      <c r="CJ94" s="85">
        <f>CJ55/CJ93</f>
        <v>6.3914891039870545</v>
      </c>
      <c r="CK94" s="85"/>
      <c r="CL94" s="85">
        <f>CL55/CL93</f>
        <v>6.4898062135066796</v>
      </c>
      <c r="CM94" s="85"/>
      <c r="CN94" s="85">
        <f>CN55/CN93</f>
        <v>6.2921053216525884</v>
      </c>
      <c r="CO94" s="85"/>
      <c r="CP94" s="85">
        <f>CP55/CP93</f>
        <v>6.3256816111630441</v>
      </c>
      <c r="CQ94" s="85"/>
      <c r="CR94" s="85">
        <f>CR55/CR93</f>
        <v>6.3005410883426229</v>
      </c>
      <c r="CS94" s="85"/>
      <c r="CT94" s="85">
        <f>CT55/CT93</f>
        <v>8.111956279081566</v>
      </c>
      <c r="CU94" s="85"/>
      <c r="CV94" s="85">
        <f>CV55/CV93</f>
        <v>3.2653187983430545</v>
      </c>
      <c r="CW94" s="85"/>
      <c r="CX94" s="85">
        <f>CX55/CX93</f>
        <v>3.0337691784842087</v>
      </c>
      <c r="CY94" s="85"/>
      <c r="CZ94" s="85">
        <f>CZ55/CZ93</f>
        <v>3.2194383793623649</v>
      </c>
      <c r="DA94" s="85"/>
      <c r="DB94" s="85">
        <f>DB55/DB93</f>
        <v>3.0568843852153464</v>
      </c>
    </row>
    <row r="95" spans="2:107">
      <c r="B95" s="9"/>
      <c r="C95" s="9"/>
      <c r="D95" s="7"/>
      <c r="F95" s="7"/>
      <c r="G95" s="9"/>
      <c r="H95" s="7"/>
      <c r="I95" s="9"/>
      <c r="J95" s="7"/>
      <c r="K95" s="9"/>
      <c r="L95" s="7"/>
      <c r="N95" s="7"/>
      <c r="O95" s="9"/>
      <c r="P95" s="7"/>
      <c r="Q95" s="9"/>
      <c r="R95" s="7"/>
      <c r="S95" s="9"/>
      <c r="T95" s="7"/>
      <c r="V95" s="7"/>
      <c r="W95" s="9"/>
      <c r="X95" s="7"/>
      <c r="Y95" s="9"/>
      <c r="Z95" s="7"/>
      <c r="AA95" s="9"/>
      <c r="AB95" s="7"/>
      <c r="AD95" s="7"/>
      <c r="AE95" s="9"/>
      <c r="AF95" s="7"/>
      <c r="AG95" s="9"/>
      <c r="AH95" s="7"/>
      <c r="AI95" s="9"/>
      <c r="AJ95" s="7"/>
      <c r="AL95" s="7"/>
      <c r="AM95" s="9"/>
      <c r="AN95" s="7"/>
      <c r="AO95" s="9"/>
      <c r="AP95" s="7"/>
      <c r="AQ95" s="9"/>
      <c r="AR95" s="7"/>
      <c r="AT95" s="7"/>
      <c r="AU95" s="9"/>
      <c r="AV95" s="7"/>
      <c r="AW95" s="9"/>
      <c r="AX95" s="7"/>
      <c r="AY95" s="9"/>
      <c r="AZ95" s="7"/>
      <c r="BB95" s="7"/>
      <c r="BC95" s="9"/>
      <c r="BD95" s="7"/>
      <c r="BE95" s="9"/>
      <c r="BF95" s="7"/>
      <c r="BG95" s="9"/>
      <c r="BH95" s="7"/>
      <c r="BI95" s="9"/>
      <c r="BJ95" s="7"/>
      <c r="BK95" s="9"/>
      <c r="BL95" s="7"/>
      <c r="BM95" s="9"/>
      <c r="BN95" s="7"/>
      <c r="BP95" s="7"/>
      <c r="BQ95" s="9"/>
      <c r="BR95" s="7"/>
      <c r="BS95" s="9"/>
      <c r="BT95" s="7"/>
      <c r="BU95" s="9"/>
      <c r="BV95" s="7"/>
      <c r="BW95" s="9"/>
      <c r="BX95" s="7"/>
      <c r="BY95" s="9"/>
      <c r="BZ95" s="7"/>
      <c r="CA95" s="9"/>
      <c r="CB95" s="7"/>
      <c r="CD95" s="7"/>
      <c r="CE95" s="9"/>
      <c r="CF95" s="7"/>
      <c r="CG95" s="9"/>
      <c r="CH95" s="7"/>
      <c r="CI95" s="9"/>
      <c r="CJ95" s="7"/>
    </row>
  </sheetData>
  <mergeCells count="1">
    <mergeCell ref="A1:B2"/>
  </mergeCells>
  <pageMargins left="0.7" right="0.7" top="0.75" bottom="0.75" header="0.3" footer="0.3"/>
  <pageSetup paperSize="9" scale="1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7030A0"/>
  </sheetPr>
  <dimension ref="A1:GU73"/>
  <sheetViews>
    <sheetView zoomScale="120" zoomScaleNormal="120" workbookViewId="0">
      <pane xSplit="1" ySplit="2" topLeftCell="DF3" activePane="bottomRight" state="frozenSplit"/>
      <selection pane="topRight" activeCell="B1" sqref="B1"/>
      <selection pane="bottomLeft" activeCell="A3" sqref="A3"/>
      <selection pane="bottomRight" sqref="A1:A2"/>
    </sheetView>
  </sheetViews>
  <sheetFormatPr defaultRowHeight="12.5"/>
  <cols>
    <col min="1" max="1" width="45.453125" customWidth="1"/>
    <col min="2" max="2" width="0.81640625" customWidth="1"/>
    <col min="3" max="3" width="11.81640625" customWidth="1"/>
    <col min="4" max="4" width="1.1796875" customWidth="1"/>
    <col min="5" max="5" width="12.453125" customWidth="1"/>
    <col min="6" max="6" width="0.81640625" customWidth="1"/>
    <col min="7" max="7" width="12.7265625" customWidth="1"/>
    <col min="8" max="8" width="0.81640625" customWidth="1"/>
    <col min="9" max="9" width="12.453125" customWidth="1"/>
    <col min="10" max="10" width="0.81640625" customWidth="1"/>
    <col min="11" max="11" width="11.81640625" customWidth="1"/>
    <col min="12" max="12" width="1.1796875" customWidth="1"/>
    <col min="13" max="13" width="12.453125" customWidth="1"/>
    <col min="14" max="14" width="0.81640625" customWidth="1"/>
    <col min="15" max="15" width="12.7265625" customWidth="1"/>
    <col min="16" max="16" width="0.81640625" customWidth="1"/>
    <col min="17" max="17" width="12.453125" customWidth="1"/>
    <col min="18" max="18" width="0.81640625" customWidth="1"/>
    <col min="19" max="19" width="11.81640625" customWidth="1"/>
    <col min="20" max="20" width="1.1796875" customWidth="1"/>
    <col min="21" max="21" width="12.453125" customWidth="1"/>
    <col min="22" max="22" width="0.81640625" customWidth="1"/>
    <col min="23" max="23" width="11.7265625" customWidth="1"/>
    <col min="24" max="24" width="0.81640625" customWidth="1"/>
    <col min="25" max="25" width="12.453125" customWidth="1"/>
    <col min="26" max="26" width="0.81640625" customWidth="1"/>
    <col min="27" max="27" width="11.81640625" customWidth="1"/>
    <col min="28" max="28" width="1.1796875" customWidth="1"/>
    <col min="29" max="29" width="12.453125" customWidth="1"/>
    <col min="30" max="30" width="0.81640625" customWidth="1"/>
    <col min="31" max="31" width="11.7265625" customWidth="1"/>
    <col min="32" max="32" width="0.81640625" customWidth="1"/>
    <col min="33" max="33" width="12.453125" customWidth="1"/>
    <col min="34" max="34" width="0.81640625" customWidth="1"/>
    <col min="35" max="35" width="11.1796875" customWidth="1"/>
    <col min="36" max="36" width="1.1796875" customWidth="1"/>
    <col min="37" max="37" width="10.7265625" bestFit="1" customWidth="1"/>
    <col min="38" max="38" width="0.81640625" customWidth="1"/>
    <col min="39" max="39" width="10.7265625" bestFit="1" customWidth="1"/>
    <col min="40" max="40" width="0.81640625" customWidth="1"/>
    <col min="41" max="41" width="10.7265625" bestFit="1" customWidth="1"/>
    <col min="42" max="42" width="0.81640625" customWidth="1"/>
    <col min="43" max="43" width="11.1796875" customWidth="1"/>
    <col min="44" max="44" width="1.1796875" customWidth="1"/>
    <col min="45" max="45" width="10.7265625" bestFit="1" customWidth="1"/>
    <col min="46" max="46" width="0.81640625" customWidth="1"/>
    <col min="47" max="47" width="10.7265625" bestFit="1" customWidth="1"/>
    <col min="48" max="48" width="0.81640625" customWidth="1"/>
    <col min="49" max="49" width="10.7265625" bestFit="1" customWidth="1"/>
    <col min="50" max="50" width="0.81640625" customWidth="1"/>
    <col min="51" max="51" width="11.1796875" customWidth="1"/>
    <col min="52" max="52" width="1" customWidth="1"/>
    <col min="53" max="53" width="10.7265625" bestFit="1" customWidth="1"/>
    <col min="54" max="54" width="0.81640625" customWidth="1"/>
    <col min="55" max="55" width="10.7265625" bestFit="1" customWidth="1"/>
    <col min="56" max="56" width="0.81640625" customWidth="1"/>
    <col min="57" max="57" width="10.7265625" bestFit="1" customWidth="1"/>
    <col min="58" max="58" width="0.81640625" customWidth="1"/>
    <col min="59" max="59" width="11" customWidth="1"/>
    <col min="60" max="60" width="1.7265625" customWidth="1"/>
    <col min="61" max="61" width="10.7265625" bestFit="1" customWidth="1"/>
    <col min="62" max="62" width="0.81640625" customWidth="1"/>
    <col min="63" max="63" width="10.7265625" bestFit="1" customWidth="1"/>
    <col min="64" max="64" width="0.81640625" customWidth="1"/>
    <col min="65" max="65" width="10.7265625" bestFit="1" customWidth="1"/>
    <col min="66" max="66" width="0.81640625" customWidth="1"/>
    <col min="67" max="67" width="10.7265625" customWidth="1"/>
    <col min="68" max="68" width="1.7265625" customWidth="1"/>
    <col min="69" max="69" width="10.7265625" bestFit="1" customWidth="1"/>
    <col min="70" max="70" width="0.81640625" customWidth="1"/>
    <col min="71" max="71" width="10.7265625" bestFit="1" customWidth="1"/>
    <col min="72" max="72" width="0.81640625" customWidth="1"/>
    <col min="73" max="73" width="10.26953125" bestFit="1" customWidth="1"/>
    <col min="74" max="74" width="1.7265625" customWidth="1"/>
    <col min="75" max="75" width="10.7265625" bestFit="1" customWidth="1"/>
    <col min="76" max="76" width="0.81640625" customWidth="1"/>
    <col min="77" max="77" width="10.7265625" bestFit="1" customWidth="1"/>
    <col min="78" max="78" width="0.81640625" customWidth="1"/>
    <col min="79" max="79" width="10.7265625" bestFit="1" customWidth="1"/>
    <col min="80" max="80" width="0.81640625" customWidth="1"/>
    <col min="81" max="81" width="10.26953125" bestFit="1" customWidth="1"/>
    <col min="82" max="82" width="1.7265625" customWidth="1"/>
    <col min="83" max="83" width="10.7265625" bestFit="1" customWidth="1"/>
    <col min="84" max="84" width="0.81640625" customWidth="1"/>
    <col min="85" max="85" width="10.7265625" bestFit="1" customWidth="1"/>
    <col min="86" max="86" width="0.81640625" customWidth="1"/>
    <col min="87" max="87" width="10.7265625" bestFit="1" customWidth="1"/>
    <col min="88" max="88" width="0.81640625" customWidth="1"/>
    <col min="89" max="89" width="10.26953125" bestFit="1" customWidth="1"/>
    <col min="90" max="90" width="1.7265625" customWidth="1"/>
    <col min="91" max="91" width="10.26953125" bestFit="1" customWidth="1"/>
    <col min="92" max="92" width="1.7265625" customWidth="1"/>
    <col min="93" max="93" width="10.26953125" bestFit="1" customWidth="1"/>
    <col min="94" max="94" width="1.54296875" customWidth="1"/>
    <col min="95" max="95" width="10.7265625" bestFit="1" customWidth="1"/>
    <col min="96" max="96" width="0.81640625" customWidth="1"/>
    <col min="97" max="97" width="11.81640625" customWidth="1"/>
    <col min="98" max="98" width="1.54296875" customWidth="1"/>
    <col min="99" max="99" width="11.81640625" customWidth="1"/>
    <col min="100" max="100" width="1.7265625" customWidth="1"/>
    <col min="101" max="101" width="10.26953125" bestFit="1" customWidth="1"/>
    <col min="102" max="102" width="1.7265625" customWidth="1"/>
    <col min="103" max="103" width="11.453125" customWidth="1"/>
    <col min="104" max="104" width="1.7265625" customWidth="1"/>
    <col min="105" max="105" width="11.7265625" customWidth="1"/>
    <col min="106" max="106" width="2" style="74" customWidth="1"/>
    <col min="107" max="107" width="12.7265625" bestFit="1" customWidth="1"/>
    <col min="108" max="108" width="1" customWidth="1"/>
    <col min="109" max="109" width="12.7265625" bestFit="1" customWidth="1"/>
    <col min="110" max="110" width="1" customWidth="1"/>
    <col min="111" max="111" width="12.7265625" bestFit="1" customWidth="1"/>
    <col min="112" max="112" width="1" customWidth="1"/>
    <col min="113" max="113" width="12.7265625" bestFit="1" customWidth="1"/>
    <col min="114" max="114" width="1" customWidth="1"/>
    <col min="115" max="115" width="12.7265625" bestFit="1" customWidth="1"/>
    <col min="116" max="116" width="1" customWidth="1"/>
    <col min="117" max="117" width="12.7265625" bestFit="1" customWidth="1"/>
    <col min="118" max="118" width="1" customWidth="1"/>
    <col min="119" max="119" width="12.7265625" bestFit="1" customWidth="1"/>
    <col min="120" max="120" width="1" customWidth="1"/>
    <col min="121" max="121" width="12.7265625" bestFit="1" customWidth="1"/>
    <col min="122" max="122" width="1" customWidth="1"/>
    <col min="123" max="123" width="12.7265625" bestFit="1" customWidth="1"/>
    <col min="124" max="124" width="1" customWidth="1"/>
    <col min="125" max="125" width="12.7265625" bestFit="1" customWidth="1"/>
    <col min="126" max="126" width="1" customWidth="1"/>
    <col min="127" max="127" width="12.7265625" bestFit="1" customWidth="1"/>
    <col min="128" max="128" width="1" customWidth="1"/>
    <col min="129" max="129" width="12.7265625" bestFit="1" customWidth="1"/>
    <col min="130" max="130" width="1" customWidth="1"/>
    <col min="131" max="131" width="12.7265625" bestFit="1" customWidth="1"/>
    <col min="132" max="132" width="1" customWidth="1"/>
    <col min="133" max="133" width="12.7265625" bestFit="1" customWidth="1"/>
    <col min="134" max="134" width="1" customWidth="1"/>
    <col min="135" max="135" width="12.7265625" bestFit="1" customWidth="1"/>
    <col min="136" max="136" width="1" customWidth="1"/>
    <col min="137" max="137" width="12.7265625" bestFit="1" customWidth="1"/>
    <col min="138" max="138" width="1" customWidth="1"/>
    <col min="139" max="139" width="12.7265625" bestFit="1" customWidth="1"/>
    <col min="140" max="140" width="1" customWidth="1"/>
    <col min="141" max="141" width="12.7265625" bestFit="1" customWidth="1"/>
    <col min="142" max="142" width="1" customWidth="1"/>
    <col min="143" max="143" width="12.7265625" bestFit="1" customWidth="1"/>
    <col min="144" max="144" width="1" customWidth="1"/>
    <col min="145" max="145" width="12.7265625" bestFit="1" customWidth="1"/>
    <col min="146" max="146" width="1" customWidth="1"/>
    <col min="147" max="147" width="12.7265625" bestFit="1" customWidth="1"/>
    <col min="148" max="148" width="1" customWidth="1"/>
    <col min="149" max="149" width="12.7265625" bestFit="1" customWidth="1"/>
    <col min="150" max="150" width="1" customWidth="1"/>
    <col min="151" max="151" width="12.7265625" bestFit="1" customWidth="1"/>
    <col min="152" max="152" width="1" customWidth="1"/>
    <col min="153" max="153" width="12.7265625" bestFit="1" customWidth="1"/>
    <col min="154" max="154" width="1" customWidth="1"/>
    <col min="155" max="155" width="12.7265625" bestFit="1" customWidth="1"/>
    <col min="156" max="156" width="1" customWidth="1"/>
    <col min="157" max="157" width="12.7265625" bestFit="1" customWidth="1"/>
    <col min="158" max="158" width="1" customWidth="1"/>
    <col min="159" max="159" width="12.7265625" bestFit="1" customWidth="1"/>
    <col min="160" max="160" width="1" customWidth="1"/>
    <col min="161" max="161" width="12.7265625" bestFit="1" customWidth="1"/>
    <col min="162" max="162" width="1" customWidth="1"/>
    <col min="163" max="163" width="12.7265625" bestFit="1" customWidth="1"/>
    <col min="164" max="164" width="1" customWidth="1"/>
    <col min="165" max="165" width="12.7265625" bestFit="1" customWidth="1"/>
    <col min="166" max="166" width="1" customWidth="1"/>
    <col min="167" max="167" width="12.7265625" bestFit="1" customWidth="1"/>
    <col min="168" max="168" width="1" customWidth="1"/>
    <col min="169" max="169" width="12.7265625" bestFit="1" customWidth="1"/>
    <col min="170" max="170" width="1" customWidth="1"/>
    <col min="171" max="171" width="12.7265625" bestFit="1" customWidth="1"/>
    <col min="172" max="172" width="1" customWidth="1"/>
    <col min="173" max="173" width="12.7265625" bestFit="1" customWidth="1"/>
    <col min="174" max="174" width="1" customWidth="1"/>
    <col min="175" max="175" width="12.7265625" bestFit="1" customWidth="1"/>
    <col min="176" max="176" width="1" customWidth="1"/>
    <col min="177" max="177" width="12.7265625" bestFit="1" customWidth="1"/>
    <col min="178" max="178" width="1" customWidth="1"/>
    <col min="179" max="179" width="12.7265625" bestFit="1" customWidth="1"/>
    <col min="180" max="180" width="1" customWidth="1"/>
    <col min="181" max="181" width="12.7265625" bestFit="1" customWidth="1"/>
    <col min="182" max="182" width="1" customWidth="1"/>
    <col min="183" max="183" width="12.7265625" bestFit="1" customWidth="1"/>
    <col min="184" max="184" width="1" customWidth="1"/>
    <col min="185" max="185" width="12.7265625" bestFit="1" customWidth="1"/>
    <col min="186" max="186" width="1" customWidth="1"/>
    <col min="187" max="187" width="12.7265625" bestFit="1" customWidth="1"/>
    <col min="188" max="188" width="1" customWidth="1"/>
    <col min="189" max="189" width="12.7265625" bestFit="1" customWidth="1"/>
    <col min="190" max="190" width="1" customWidth="1"/>
    <col min="191" max="191" width="12.7265625" bestFit="1" customWidth="1"/>
    <col min="192" max="192" width="1" customWidth="1"/>
    <col min="193" max="193" width="12.7265625" bestFit="1" customWidth="1"/>
    <col min="194" max="194" width="1" customWidth="1"/>
    <col min="195" max="195" width="12.7265625" bestFit="1" customWidth="1"/>
    <col min="196" max="196" width="1" customWidth="1"/>
    <col min="197" max="197" width="12.7265625" bestFit="1" customWidth="1"/>
    <col min="198" max="198" width="1.1796875" customWidth="1"/>
    <col min="199" max="199" width="12.7265625" bestFit="1" customWidth="1"/>
    <col min="200" max="200" width="1.54296875" customWidth="1"/>
    <col min="201" max="201" width="12.7265625" bestFit="1" customWidth="1"/>
    <col min="202" max="202" width="1.54296875" customWidth="1"/>
    <col min="203" max="203" width="12.7265625" bestFit="1" customWidth="1"/>
  </cols>
  <sheetData>
    <row r="1" spans="1:203" s="2" customFormat="1" ht="10">
      <c r="A1" s="201" t="s">
        <v>210</v>
      </c>
      <c r="B1" s="82"/>
      <c r="C1" s="189">
        <v>45930</v>
      </c>
      <c r="D1" s="190"/>
      <c r="E1" s="191">
        <v>45838</v>
      </c>
      <c r="F1" s="190"/>
      <c r="G1" s="191">
        <v>45747</v>
      </c>
      <c r="H1" s="190"/>
      <c r="I1" s="191">
        <v>45657</v>
      </c>
      <c r="J1" s="82"/>
      <c r="K1" s="189">
        <v>45565</v>
      </c>
      <c r="L1" s="190"/>
      <c r="M1" s="191">
        <v>45473</v>
      </c>
      <c r="N1" s="190"/>
      <c r="O1" s="191">
        <v>45382</v>
      </c>
      <c r="P1" s="190"/>
      <c r="Q1" s="191">
        <v>45291</v>
      </c>
      <c r="R1" s="82"/>
      <c r="S1" s="189">
        <v>45199</v>
      </c>
      <c r="T1" s="190"/>
      <c r="U1" s="191">
        <v>45107</v>
      </c>
      <c r="V1" s="190"/>
      <c r="W1" s="191">
        <v>45016</v>
      </c>
      <c r="X1" s="190"/>
      <c r="Y1" s="191">
        <v>44926</v>
      </c>
      <c r="Z1" s="82"/>
      <c r="AA1" s="189">
        <v>44834</v>
      </c>
      <c r="AB1" s="190"/>
      <c r="AC1" s="191">
        <v>44742</v>
      </c>
      <c r="AD1" s="190"/>
      <c r="AE1" s="191">
        <v>44651</v>
      </c>
      <c r="AF1" s="190"/>
      <c r="AG1" s="191">
        <v>44561</v>
      </c>
      <c r="AH1" s="82"/>
      <c r="AI1" s="83" t="s">
        <v>279</v>
      </c>
      <c r="AJ1" s="82"/>
      <c r="AK1" s="81" t="s">
        <v>280</v>
      </c>
      <c r="AL1" s="82"/>
      <c r="AM1" s="81" t="s">
        <v>281</v>
      </c>
      <c r="AN1" s="82"/>
      <c r="AO1" s="81" t="s">
        <v>282</v>
      </c>
      <c r="AP1" s="82"/>
      <c r="AQ1" s="83" t="s">
        <v>272</v>
      </c>
      <c r="AR1" s="82"/>
      <c r="AS1" s="81" t="s">
        <v>271</v>
      </c>
      <c r="AT1" s="82"/>
      <c r="AU1" s="81" t="s">
        <v>270</v>
      </c>
      <c r="AV1" s="82"/>
      <c r="AW1" s="81" t="s">
        <v>269</v>
      </c>
      <c r="AX1" s="82"/>
      <c r="AY1" s="83" t="s">
        <v>256</v>
      </c>
      <c r="AZ1" s="82"/>
      <c r="BA1" s="81" t="s">
        <v>255</v>
      </c>
      <c r="BB1" s="82"/>
      <c r="BC1" s="81" t="s">
        <v>253</v>
      </c>
      <c r="BD1" s="82"/>
      <c r="BE1" s="81" t="s">
        <v>254</v>
      </c>
      <c r="BF1" s="82"/>
      <c r="BG1" s="83" t="s">
        <v>234</v>
      </c>
      <c r="BH1" s="82"/>
      <c r="BI1" s="81" t="s">
        <v>235</v>
      </c>
      <c r="BJ1" s="82"/>
      <c r="BK1" s="81" t="s">
        <v>236</v>
      </c>
      <c r="BL1" s="82"/>
      <c r="BM1" s="81" t="s">
        <v>233</v>
      </c>
      <c r="BN1" s="82"/>
      <c r="BO1" s="81" t="s">
        <v>232</v>
      </c>
      <c r="BP1" s="82"/>
      <c r="BQ1" s="81" t="s">
        <v>231</v>
      </c>
      <c r="BR1" s="82"/>
      <c r="BS1" s="81" t="s">
        <v>230</v>
      </c>
      <c r="BT1" s="82"/>
      <c r="BU1" s="83" t="s">
        <v>217</v>
      </c>
      <c r="BV1" s="82"/>
      <c r="BW1" s="81" t="s">
        <v>218</v>
      </c>
      <c r="BX1" s="82"/>
      <c r="BY1" s="81" t="s">
        <v>219</v>
      </c>
      <c r="BZ1" s="82"/>
      <c r="CA1" s="81" t="s">
        <v>220</v>
      </c>
      <c r="CB1" s="82"/>
      <c r="CC1" s="83" t="s">
        <v>212</v>
      </c>
      <c r="CD1" s="82"/>
      <c r="CE1" s="81" t="s">
        <v>187</v>
      </c>
      <c r="CF1" s="82"/>
      <c r="CG1" s="81" t="s">
        <v>182</v>
      </c>
      <c r="CH1" s="82"/>
      <c r="CI1" s="81" t="s">
        <v>163</v>
      </c>
      <c r="CJ1" s="82"/>
      <c r="CK1" s="83" t="s">
        <v>162</v>
      </c>
      <c r="CL1" s="82"/>
      <c r="CM1" s="81" t="s">
        <v>0</v>
      </c>
      <c r="CN1" s="82"/>
      <c r="CO1" s="81" t="s">
        <v>1</v>
      </c>
      <c r="CP1" s="82"/>
      <c r="CQ1" s="81" t="s">
        <v>2</v>
      </c>
      <c r="CR1" s="82"/>
      <c r="CS1" s="83" t="s">
        <v>3</v>
      </c>
      <c r="CT1" s="82"/>
      <c r="CU1" s="81" t="s">
        <v>4</v>
      </c>
      <c r="CV1" s="82"/>
      <c r="CW1" s="81" t="s">
        <v>5</v>
      </c>
      <c r="CX1" s="82"/>
      <c r="CY1" s="83" t="s">
        <v>188</v>
      </c>
      <c r="CZ1" s="82"/>
      <c r="DA1" s="83" t="s">
        <v>189</v>
      </c>
      <c r="DB1" s="84"/>
      <c r="DC1" s="191">
        <f>C1</f>
        <v>45930</v>
      </c>
      <c r="DD1" s="190"/>
      <c r="DE1" s="191">
        <f>E1</f>
        <v>45838</v>
      </c>
      <c r="DF1" s="190"/>
      <c r="DG1" s="191">
        <f>G1</f>
        <v>45747</v>
      </c>
      <c r="DH1" s="190"/>
      <c r="DI1" s="191">
        <f>I1</f>
        <v>45657</v>
      </c>
      <c r="DJ1" s="82"/>
      <c r="DK1" s="191">
        <f>K1</f>
        <v>45565</v>
      </c>
      <c r="DL1" s="190"/>
      <c r="DM1" s="191">
        <f>M1</f>
        <v>45473</v>
      </c>
      <c r="DN1" s="190"/>
      <c r="DO1" s="191">
        <f>O1</f>
        <v>45382</v>
      </c>
      <c r="DP1" s="190"/>
      <c r="DQ1" s="191">
        <f>Q1</f>
        <v>45291</v>
      </c>
      <c r="DR1" s="82"/>
      <c r="DS1" s="191">
        <f>S1</f>
        <v>45199</v>
      </c>
      <c r="DT1" s="190"/>
      <c r="DU1" s="191">
        <f>U1</f>
        <v>45107</v>
      </c>
      <c r="DV1" s="190"/>
      <c r="DW1" s="191">
        <f>W1</f>
        <v>45016</v>
      </c>
      <c r="DX1" s="190"/>
      <c r="DY1" s="191">
        <f>Y1</f>
        <v>44926</v>
      </c>
      <c r="DZ1" s="82"/>
      <c r="EA1" s="191">
        <f>AA1</f>
        <v>44834</v>
      </c>
      <c r="EB1" s="190"/>
      <c r="EC1" s="191">
        <f>AC1</f>
        <v>44742</v>
      </c>
      <c r="ED1" s="190"/>
      <c r="EE1" s="191">
        <f>AE1</f>
        <v>44651</v>
      </c>
      <c r="EF1" s="190"/>
      <c r="EG1" s="191">
        <f>AG1</f>
        <v>44561</v>
      </c>
      <c r="EH1" s="82"/>
      <c r="EI1" s="81" t="s">
        <v>279</v>
      </c>
      <c r="EJ1" s="82"/>
      <c r="EK1" s="81" t="s">
        <v>280</v>
      </c>
      <c r="EL1" s="82"/>
      <c r="EM1" s="81" t="s">
        <v>281</v>
      </c>
      <c r="EN1" s="82"/>
      <c r="EO1" s="81" t="s">
        <v>282</v>
      </c>
      <c r="EP1" s="82"/>
      <c r="EQ1" s="81" t="str">
        <f>AQ1</f>
        <v>30.09.2020</v>
      </c>
      <c r="ER1" s="82"/>
      <c r="ES1" s="81" t="str">
        <f>AS1</f>
        <v>30.06.2020</v>
      </c>
      <c r="ET1" s="82"/>
      <c r="EU1" s="81" t="str">
        <f>AU1</f>
        <v>31.03.2020</v>
      </c>
      <c r="EV1" s="82"/>
      <c r="EW1" s="81" t="str">
        <f>AW1</f>
        <v>31.12.2019</v>
      </c>
      <c r="EX1" s="82"/>
      <c r="EY1" s="81" t="str">
        <f>AY1</f>
        <v>30.09.2019</v>
      </c>
      <c r="EZ1" s="82"/>
      <c r="FA1" s="81" t="str">
        <f>BA1</f>
        <v>30.06.2019</v>
      </c>
      <c r="FB1" s="82"/>
      <c r="FC1" s="81" t="str">
        <f>BC1</f>
        <v>31.03.2019</v>
      </c>
      <c r="FD1" s="82"/>
      <c r="FE1" s="81" t="str">
        <f>BE1</f>
        <v>31.12.2018</v>
      </c>
      <c r="FF1" s="82"/>
      <c r="FG1" s="81" t="str">
        <f>BG1</f>
        <v>30.09.2018</v>
      </c>
      <c r="FH1" s="82"/>
      <c r="FI1" s="81" t="str">
        <f>BI1</f>
        <v>30.06.2018</v>
      </c>
      <c r="FJ1" s="82"/>
      <c r="FK1" s="81" t="str">
        <f>BK1</f>
        <v>31.03.2018</v>
      </c>
      <c r="FL1" s="82"/>
      <c r="FM1" s="81" t="str">
        <f>BM1</f>
        <v>31.12.2017</v>
      </c>
      <c r="FN1" s="82"/>
      <c r="FO1" s="81" t="str">
        <f>BO1</f>
        <v>30.09.2017</v>
      </c>
      <c r="FP1" s="82"/>
      <c r="FQ1" s="81" t="str">
        <f>BQ1</f>
        <v>30.06.2017</v>
      </c>
      <c r="FR1" s="82"/>
      <c r="FS1" s="81" t="str">
        <f>BS1</f>
        <v>31.03.2017</v>
      </c>
      <c r="FT1" s="82"/>
      <c r="FU1" s="81" t="str">
        <f>BU1</f>
        <v>31.12.2016</v>
      </c>
      <c r="FV1" s="82"/>
      <c r="FW1" s="81" t="str">
        <f>BW1</f>
        <v>30.09.2016</v>
      </c>
      <c r="FX1" s="82"/>
      <c r="FY1" s="81" t="str">
        <f>BY1</f>
        <v>30.06.2016</v>
      </c>
      <c r="FZ1" s="82"/>
      <c r="GA1" s="81" t="s">
        <v>220</v>
      </c>
      <c r="GB1" s="82"/>
      <c r="GC1" s="81" t="str">
        <f>CC1</f>
        <v>31.12.2015</v>
      </c>
      <c r="GD1" s="82"/>
      <c r="GE1" s="81" t="str">
        <f>CE1</f>
        <v>30.09.2015</v>
      </c>
      <c r="GF1" s="82"/>
      <c r="GG1" s="81" t="str">
        <f>CG1</f>
        <v>30.06.2015</v>
      </c>
      <c r="GH1" s="82"/>
      <c r="GI1" s="81" t="s">
        <v>163</v>
      </c>
      <c r="GJ1" s="82"/>
      <c r="GK1" s="81" t="s">
        <v>162</v>
      </c>
      <c r="GL1" s="82"/>
      <c r="GM1" s="81" t="s">
        <v>0</v>
      </c>
      <c r="GN1" s="82"/>
      <c r="GO1" s="81" t="s">
        <v>1</v>
      </c>
      <c r="GP1" s="82"/>
      <c r="GQ1" s="81" t="s">
        <v>2</v>
      </c>
      <c r="GR1" s="82"/>
      <c r="GS1" s="81" t="s">
        <v>3</v>
      </c>
      <c r="GT1" s="82"/>
      <c r="GU1" s="81" t="s">
        <v>4</v>
      </c>
    </row>
    <row r="2" spans="1:203" s="4" customFormat="1" ht="38.25" customHeight="1">
      <c r="A2" s="201"/>
      <c r="B2" s="2"/>
      <c r="C2" s="90" t="s">
        <v>257</v>
      </c>
      <c r="D2" s="2"/>
      <c r="E2" s="89" t="s">
        <v>193</v>
      </c>
      <c r="F2" s="2"/>
      <c r="G2" s="89" t="s">
        <v>192</v>
      </c>
      <c r="H2" s="2"/>
      <c r="I2" s="89" t="s">
        <v>195</v>
      </c>
      <c r="J2" s="2"/>
      <c r="K2" s="90" t="s">
        <v>257</v>
      </c>
      <c r="L2" s="2"/>
      <c r="M2" s="89" t="s">
        <v>193</v>
      </c>
      <c r="N2" s="2"/>
      <c r="O2" s="89" t="s">
        <v>192</v>
      </c>
      <c r="P2" s="2"/>
      <c r="Q2" s="89" t="s">
        <v>195</v>
      </c>
      <c r="R2" s="2"/>
      <c r="S2" s="90" t="s">
        <v>257</v>
      </c>
      <c r="T2" s="2"/>
      <c r="U2" s="89" t="s">
        <v>193</v>
      </c>
      <c r="V2" s="2"/>
      <c r="W2" s="89" t="s">
        <v>192</v>
      </c>
      <c r="X2" s="2"/>
      <c r="Y2" s="89" t="s">
        <v>195</v>
      </c>
      <c r="Z2" s="2"/>
      <c r="AA2" s="90" t="s">
        <v>257</v>
      </c>
      <c r="AB2" s="2"/>
      <c r="AC2" s="89" t="s">
        <v>193</v>
      </c>
      <c r="AD2" s="2"/>
      <c r="AE2" s="89" t="s">
        <v>192</v>
      </c>
      <c r="AF2" s="2"/>
      <c r="AG2" s="89" t="s">
        <v>195</v>
      </c>
      <c r="AH2" s="2"/>
      <c r="AI2" s="90" t="s">
        <v>257</v>
      </c>
      <c r="AJ2" s="2"/>
      <c r="AK2" s="89" t="s">
        <v>193</v>
      </c>
      <c r="AL2" s="2"/>
      <c r="AM2" s="89" t="s">
        <v>192</v>
      </c>
      <c r="AN2" s="2"/>
      <c r="AO2" s="89" t="s">
        <v>195</v>
      </c>
      <c r="AP2" s="2"/>
      <c r="AQ2" s="90" t="s">
        <v>257</v>
      </c>
      <c r="AR2" s="2"/>
      <c r="AS2" s="89" t="s">
        <v>193</v>
      </c>
      <c r="AT2" s="2"/>
      <c r="AU2" s="89" t="s">
        <v>192</v>
      </c>
      <c r="AV2" s="2"/>
      <c r="AW2" s="89" t="s">
        <v>195</v>
      </c>
      <c r="AX2" s="2"/>
      <c r="AY2" s="90" t="s">
        <v>257</v>
      </c>
      <c r="AZ2" s="2"/>
      <c r="BA2" s="89" t="s">
        <v>193</v>
      </c>
      <c r="BB2" s="2"/>
      <c r="BC2" s="89" t="s">
        <v>192</v>
      </c>
      <c r="BD2" s="2"/>
      <c r="BE2" s="89" t="s">
        <v>195</v>
      </c>
      <c r="BF2" s="2"/>
      <c r="BG2" s="153" t="s">
        <v>265</v>
      </c>
      <c r="BH2" s="2"/>
      <c r="BI2" s="89" t="s">
        <v>238</v>
      </c>
      <c r="BJ2" s="2"/>
      <c r="BK2" s="89" t="s">
        <v>237</v>
      </c>
      <c r="BL2" s="2"/>
      <c r="BM2" s="89" t="s">
        <v>194</v>
      </c>
      <c r="BN2" s="2"/>
      <c r="BO2" s="89" t="s">
        <v>193</v>
      </c>
      <c r="BP2" s="2"/>
      <c r="BQ2" s="89" t="s">
        <v>192</v>
      </c>
      <c r="BR2" s="2"/>
      <c r="BS2" s="89" t="s">
        <v>195</v>
      </c>
      <c r="BT2" s="2"/>
      <c r="BU2" s="90" t="s">
        <v>194</v>
      </c>
      <c r="BV2" s="2"/>
      <c r="BW2" s="89" t="s">
        <v>193</v>
      </c>
      <c r="BX2" s="2"/>
      <c r="BY2" s="89" t="s">
        <v>192</v>
      </c>
      <c r="BZ2" s="2"/>
      <c r="CA2" s="89" t="s">
        <v>195</v>
      </c>
      <c r="CB2" s="2"/>
      <c r="CC2" s="90" t="s">
        <v>194</v>
      </c>
      <c r="CD2" s="2"/>
      <c r="CE2" s="89" t="s">
        <v>193</v>
      </c>
      <c r="CF2" s="2"/>
      <c r="CG2" s="89" t="s">
        <v>192</v>
      </c>
      <c r="CH2" s="2"/>
      <c r="CI2" s="89" t="s">
        <v>195</v>
      </c>
      <c r="CJ2" s="2"/>
      <c r="CK2" s="90" t="s">
        <v>194</v>
      </c>
      <c r="CL2" s="2"/>
      <c r="CM2" s="89" t="s">
        <v>193</v>
      </c>
      <c r="CN2" s="2"/>
      <c r="CO2" s="89" t="s">
        <v>192</v>
      </c>
      <c r="CP2" s="2"/>
      <c r="CQ2" s="89" t="s">
        <v>195</v>
      </c>
      <c r="CR2" s="2"/>
      <c r="CS2" s="90" t="s">
        <v>194</v>
      </c>
      <c r="CT2" s="2"/>
      <c r="CU2" s="89" t="s">
        <v>193</v>
      </c>
      <c r="CV2" s="2"/>
      <c r="CW2" s="89" t="s">
        <v>192</v>
      </c>
      <c r="CX2" s="2"/>
      <c r="CY2" s="90" t="s">
        <v>194</v>
      </c>
      <c r="CZ2" s="2"/>
      <c r="DA2" s="90" t="s">
        <v>194</v>
      </c>
      <c r="DB2" s="73"/>
      <c r="DC2" s="91" t="s">
        <v>58</v>
      </c>
      <c r="DD2" s="92"/>
      <c r="DE2" s="91" t="s">
        <v>58</v>
      </c>
      <c r="DF2" s="92"/>
      <c r="DG2" s="91" t="s">
        <v>58</v>
      </c>
      <c r="DH2" s="92"/>
      <c r="DI2" s="91" t="s">
        <v>58</v>
      </c>
      <c r="DJ2" s="92"/>
      <c r="DK2" s="91" t="s">
        <v>58</v>
      </c>
      <c r="DL2" s="92"/>
      <c r="DM2" s="91" t="s">
        <v>58</v>
      </c>
      <c r="DN2" s="92"/>
      <c r="DO2" s="91" t="s">
        <v>58</v>
      </c>
      <c r="DP2" s="92"/>
      <c r="DQ2" s="91" t="s">
        <v>58</v>
      </c>
      <c r="DR2" s="92"/>
      <c r="DS2" s="91" t="s">
        <v>58</v>
      </c>
      <c r="DT2" s="92"/>
      <c r="DU2" s="91" t="s">
        <v>58</v>
      </c>
      <c r="DV2" s="92"/>
      <c r="DW2" s="91" t="s">
        <v>58</v>
      </c>
      <c r="DX2" s="92"/>
      <c r="DY2" s="91" t="s">
        <v>58</v>
      </c>
      <c r="DZ2" s="92"/>
      <c r="EA2" s="91" t="s">
        <v>58</v>
      </c>
      <c r="EB2" s="92"/>
      <c r="EC2" s="91" t="s">
        <v>58</v>
      </c>
      <c r="ED2" s="92"/>
      <c r="EE2" s="91" t="s">
        <v>58</v>
      </c>
      <c r="EF2" s="92"/>
      <c r="EG2" s="91" t="s">
        <v>58</v>
      </c>
      <c r="EH2" s="92"/>
      <c r="EI2" s="91" t="s">
        <v>58</v>
      </c>
      <c r="EJ2" s="92"/>
      <c r="EK2" s="91" t="s">
        <v>58</v>
      </c>
      <c r="EL2" s="92"/>
      <c r="EM2" s="91" t="s">
        <v>58</v>
      </c>
      <c r="EN2" s="92"/>
      <c r="EO2" s="91" t="s">
        <v>58</v>
      </c>
      <c r="EP2" s="92"/>
      <c r="EQ2" s="91" t="s">
        <v>58</v>
      </c>
      <c r="ER2" s="92"/>
      <c r="ES2" s="91" t="s">
        <v>58</v>
      </c>
      <c r="ET2" s="92"/>
      <c r="EU2" s="91" t="s">
        <v>58</v>
      </c>
      <c r="EV2" s="92"/>
      <c r="EW2" s="91" t="s">
        <v>58</v>
      </c>
      <c r="EX2" s="92"/>
      <c r="EY2" s="91" t="s">
        <v>58</v>
      </c>
      <c r="EZ2" s="92"/>
      <c r="FA2" s="91" t="s">
        <v>58</v>
      </c>
      <c r="FB2" s="92"/>
      <c r="FC2" s="91" t="s">
        <v>58</v>
      </c>
      <c r="FD2" s="92"/>
      <c r="FE2" s="91" t="s">
        <v>58</v>
      </c>
      <c r="FF2" s="92"/>
      <c r="FG2" s="91" t="s">
        <v>58</v>
      </c>
      <c r="FH2" s="92"/>
      <c r="FI2" s="91" t="s">
        <v>58</v>
      </c>
      <c r="FJ2" s="92"/>
      <c r="FK2" s="91" t="s">
        <v>58</v>
      </c>
      <c r="FL2" s="92"/>
      <c r="FM2" s="91" t="s">
        <v>58</v>
      </c>
      <c r="FN2" s="92"/>
      <c r="FO2" s="91" t="s">
        <v>58</v>
      </c>
      <c r="FP2" s="92"/>
      <c r="FQ2" s="91" t="s">
        <v>58</v>
      </c>
      <c r="FR2" s="92"/>
      <c r="FS2" s="91" t="s">
        <v>58</v>
      </c>
      <c r="FT2" s="92"/>
      <c r="FU2" s="91" t="s">
        <v>58</v>
      </c>
      <c r="FV2" s="92"/>
      <c r="FW2" s="91" t="s">
        <v>58</v>
      </c>
      <c r="FX2" s="92"/>
      <c r="FY2" s="91" t="s">
        <v>58</v>
      </c>
      <c r="FZ2" s="92"/>
      <c r="GA2" s="91" t="s">
        <v>58</v>
      </c>
      <c r="GB2" s="92"/>
      <c r="GC2" s="91" t="s">
        <v>58</v>
      </c>
      <c r="GD2" s="92"/>
      <c r="GE2" s="91" t="s">
        <v>58</v>
      </c>
      <c r="GF2" s="92"/>
      <c r="GG2" s="91" t="s">
        <v>58</v>
      </c>
      <c r="GH2" s="92"/>
      <c r="GI2" s="91" t="s">
        <v>58</v>
      </c>
      <c r="GJ2" s="92"/>
      <c r="GK2" s="91" t="s">
        <v>58</v>
      </c>
      <c r="GL2" s="92"/>
      <c r="GM2" s="91" t="s">
        <v>58</v>
      </c>
      <c r="GN2" s="92"/>
      <c r="GO2" s="91" t="s">
        <v>58</v>
      </c>
      <c r="GP2" s="92"/>
      <c r="GQ2" s="91" t="s">
        <v>58</v>
      </c>
      <c r="GR2" s="92"/>
      <c r="GS2" s="91" t="s">
        <v>58</v>
      </c>
      <c r="GT2" s="92"/>
      <c r="GU2" s="91" t="s">
        <v>58</v>
      </c>
    </row>
    <row r="3" spans="1:203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75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</row>
    <row r="4" spans="1:203">
      <c r="A4" s="26" t="s">
        <v>59</v>
      </c>
      <c r="C4" s="29"/>
      <c r="E4" s="29"/>
      <c r="G4" s="29"/>
      <c r="I4" s="29">
        <v>11887851.470000001</v>
      </c>
      <c r="K4" s="29">
        <v>41653066.009999998</v>
      </c>
      <c r="M4" s="29">
        <v>30904030.699999999</v>
      </c>
      <c r="O4" s="29">
        <v>19703564.93</v>
      </c>
      <c r="Q4" s="29">
        <v>9968155.6699999999</v>
      </c>
      <c r="S4" s="29">
        <v>25567849.34</v>
      </c>
      <c r="U4" s="29">
        <v>17975354</v>
      </c>
      <c r="W4" s="29">
        <v>12136921.74</v>
      </c>
      <c r="Y4" s="29">
        <v>6556454.6399999997</v>
      </c>
      <c r="AA4" s="29">
        <v>19622624.439999998</v>
      </c>
      <c r="AC4" s="29">
        <v>14263444.75</v>
      </c>
      <c r="AE4" s="29">
        <v>9750283.0199999996</v>
      </c>
      <c r="AG4" s="29">
        <v>5824740.3099999996</v>
      </c>
      <c r="AI4" s="29">
        <v>14635949.529999999</v>
      </c>
      <c r="AK4" s="29">
        <v>11178757.199999999</v>
      </c>
      <c r="AM4" s="29">
        <v>7843969.5599999996</v>
      </c>
      <c r="AO4" s="29">
        <v>4210420.71</v>
      </c>
      <c r="AQ4" s="29">
        <v>12605895.59</v>
      </c>
      <c r="AS4" s="29">
        <v>9866563.2100000009</v>
      </c>
      <c r="AU4" s="29">
        <v>6941380.5600000005</v>
      </c>
      <c r="AW4" s="29">
        <v>3801135.82</v>
      </c>
      <c r="AY4" s="29">
        <v>14214717.309999999</v>
      </c>
      <c r="BA4" s="29">
        <v>11950894.300000001</v>
      </c>
      <c r="BC4" s="29">
        <v>9034249.5600000005</v>
      </c>
      <c r="BE4" s="29">
        <v>4416892.01</v>
      </c>
      <c r="BG4" s="29">
        <v>23889160.479999997</v>
      </c>
      <c r="BI4" s="29">
        <v>21786030.129999999</v>
      </c>
      <c r="BK4" s="29">
        <v>19346707.949999999</v>
      </c>
      <c r="BM4" s="29">
        <v>15716885.059999999</v>
      </c>
      <c r="BO4" s="29">
        <v>11448666.15</v>
      </c>
      <c r="BQ4" s="29">
        <v>8653263.5</v>
      </c>
      <c r="BS4" s="29">
        <v>3239870.88</v>
      </c>
      <c r="BU4" s="29">
        <v>15800504.07</v>
      </c>
      <c r="BW4" s="29">
        <v>7263457.4700000007</v>
      </c>
      <c r="BY4" s="29">
        <v>5078047.29</v>
      </c>
      <c r="CA4" s="29">
        <v>2524801.84</v>
      </c>
      <c r="CC4" s="29">
        <v>14225487.329999998</v>
      </c>
      <c r="CE4" s="29">
        <v>9529873.2599999998</v>
      </c>
      <c r="CG4" s="29">
        <v>6622698.4199999999</v>
      </c>
      <c r="CI4" s="29">
        <v>3367352.74</v>
      </c>
      <c r="CK4" s="29">
        <v>14111339.17</v>
      </c>
      <c r="CM4" s="29">
        <v>10777865.880000001</v>
      </c>
      <c r="CO4" s="29">
        <v>8326374.4000000004</v>
      </c>
      <c r="CQ4" s="29">
        <v>3507833.17</v>
      </c>
      <c r="CS4" s="29">
        <v>20323196.309999999</v>
      </c>
      <c r="CU4" s="29">
        <v>12521662.17</v>
      </c>
      <c r="CW4" s="29">
        <v>7070895.79</v>
      </c>
      <c r="CY4" s="29">
        <v>11604706.65</v>
      </c>
      <c r="DA4" s="29">
        <v>10803679.77</v>
      </c>
      <c r="DB4" s="75"/>
      <c r="DC4" s="29"/>
      <c r="DD4" s="5"/>
      <c r="DE4" s="29"/>
      <c r="DF4" s="5"/>
      <c r="DG4" s="29"/>
      <c r="DH4" s="5"/>
      <c r="DI4" s="29">
        <f>I4</f>
        <v>11887851.470000001</v>
      </c>
      <c r="DJ4" s="5"/>
      <c r="DK4" s="29">
        <f>K4-M4</f>
        <v>10749035.309999999</v>
      </c>
      <c r="DL4" s="5"/>
      <c r="DM4" s="29">
        <f>M4-O4</f>
        <v>11200465.77</v>
      </c>
      <c r="DN4" s="5"/>
      <c r="DO4" s="29">
        <f>O4-Q4</f>
        <v>9735409.2599999998</v>
      </c>
      <c r="DP4" s="5"/>
      <c r="DQ4" s="29">
        <f>Q4</f>
        <v>9968155.6699999999</v>
      </c>
      <c r="DR4" s="5"/>
      <c r="DS4" s="29">
        <f>S4-U4</f>
        <v>7592495.3399999999</v>
      </c>
      <c r="DT4" s="5"/>
      <c r="DU4" s="29">
        <f>U4-W4</f>
        <v>5838432.2599999998</v>
      </c>
      <c r="DV4" s="5"/>
      <c r="DW4" s="29">
        <f>W4-Y4</f>
        <v>5580467.1000000006</v>
      </c>
      <c r="DX4" s="5"/>
      <c r="DY4" s="29">
        <f>Y4</f>
        <v>6556454.6399999997</v>
      </c>
      <c r="DZ4" s="5"/>
      <c r="EA4" s="29">
        <f>AA4-AC4</f>
        <v>5359179.6899999976</v>
      </c>
      <c r="EB4" s="5"/>
      <c r="EC4" s="29">
        <f>AC4-AE4</f>
        <v>4513161.7300000004</v>
      </c>
      <c r="ED4" s="5"/>
      <c r="EE4" s="29">
        <f>AE4-AG4</f>
        <v>3925542.71</v>
      </c>
      <c r="EF4" s="5"/>
      <c r="EG4" s="29">
        <f>AG4</f>
        <v>5824740.3099999996</v>
      </c>
      <c r="EH4" s="5"/>
      <c r="EI4" s="29">
        <f>AI4-AK4</f>
        <v>3457192.33</v>
      </c>
      <c r="EJ4" s="5"/>
      <c r="EK4" s="29">
        <f>AK4-AM4</f>
        <v>3334787.6399999997</v>
      </c>
      <c r="EL4" s="5"/>
      <c r="EM4" s="29">
        <f>AM4-AO4</f>
        <v>3633548.8499999996</v>
      </c>
      <c r="EN4" s="5"/>
      <c r="EO4" s="29">
        <f>AO4</f>
        <v>4210420.71</v>
      </c>
      <c r="EP4" s="5"/>
      <c r="EQ4" s="29">
        <f>AQ4-AS4</f>
        <v>2739332.379999999</v>
      </c>
      <c r="ER4" s="5"/>
      <c r="ES4" s="29">
        <f>AS4-AU4</f>
        <v>2925182.6500000004</v>
      </c>
      <c r="ET4" s="5"/>
      <c r="EU4" s="29">
        <f>AU4-AW4</f>
        <v>3140244.7400000007</v>
      </c>
      <c r="EV4" s="5"/>
      <c r="EW4" s="29">
        <f>AW4</f>
        <v>3801135.82</v>
      </c>
      <c r="EX4" s="5"/>
      <c r="EY4" s="29">
        <f>AY4-BA4</f>
        <v>2263823.0099999979</v>
      </c>
      <c r="EZ4" s="5"/>
      <c r="FA4" s="29">
        <f>BA4-BC4</f>
        <v>2916644.74</v>
      </c>
      <c r="FB4" s="5"/>
      <c r="FC4" s="29">
        <f>BC4-BE4</f>
        <v>4617357.5500000007</v>
      </c>
      <c r="FD4" s="5"/>
      <c r="FE4" s="29">
        <f>BE4</f>
        <v>4416892.01</v>
      </c>
      <c r="FF4" s="5"/>
      <c r="FG4" s="29">
        <f>BG4-BI4</f>
        <v>2103130.3499999978</v>
      </c>
      <c r="FH4" s="5"/>
      <c r="FI4" s="29">
        <f>BI4-BK4</f>
        <v>2439322.1799999997</v>
      </c>
      <c r="FJ4" s="5"/>
      <c r="FK4" s="29">
        <f>BK4-BM4</f>
        <v>3629822.8900000006</v>
      </c>
      <c r="FL4" s="5"/>
      <c r="FM4" s="29">
        <f>BM4-BO4</f>
        <v>4268218.9099999983</v>
      </c>
      <c r="FN4" s="5"/>
      <c r="FO4" s="29">
        <f>BO4-BQ4</f>
        <v>2795402.6500000004</v>
      </c>
      <c r="FP4" s="5"/>
      <c r="FQ4" s="29">
        <f>BQ4-BS4</f>
        <v>5413392.6200000001</v>
      </c>
      <c r="FR4" s="5"/>
      <c r="FS4" s="29">
        <f>BS4</f>
        <v>3239870.88</v>
      </c>
      <c r="FT4" s="5"/>
      <c r="FU4" s="29">
        <f>BU4-BW4</f>
        <v>8537046.5999999996</v>
      </c>
      <c r="FV4" s="5"/>
      <c r="FW4" s="29">
        <f>BW4-BY4</f>
        <v>2185410.1800000006</v>
      </c>
      <c r="FX4" s="5"/>
      <c r="FY4" s="29">
        <f>BY4-CA4</f>
        <v>2553245.4500000002</v>
      </c>
      <c r="FZ4" s="5"/>
      <c r="GA4" s="29">
        <f>CA4</f>
        <v>2524801.84</v>
      </c>
      <c r="GB4" s="5"/>
      <c r="GC4" s="29">
        <f>CC4-CE4</f>
        <v>4695614.0699999984</v>
      </c>
      <c r="GD4" s="5"/>
      <c r="GE4" s="29">
        <f>CE4-CG4</f>
        <v>2907174.84</v>
      </c>
      <c r="GF4" s="5"/>
      <c r="GG4" s="29">
        <f>CG4-CI4</f>
        <v>3255345.6799999997</v>
      </c>
      <c r="GH4" s="5"/>
      <c r="GI4" s="29">
        <f>CI4</f>
        <v>3367352.74</v>
      </c>
      <c r="GJ4" s="5"/>
      <c r="GK4" s="29">
        <f>CK4-CM4</f>
        <v>3333473.2899999991</v>
      </c>
      <c r="GL4" s="5"/>
      <c r="GM4" s="29">
        <f>CM4-CO4</f>
        <v>2451491.4800000004</v>
      </c>
      <c r="GN4" s="5"/>
      <c r="GO4" s="29">
        <f>CO4-CQ4</f>
        <v>4818541.2300000004</v>
      </c>
      <c r="GP4" s="5"/>
      <c r="GQ4" s="29">
        <f>CQ4</f>
        <v>3507833.17</v>
      </c>
      <c r="GR4" s="5"/>
      <c r="GS4" s="29">
        <f>CS4-CU4</f>
        <v>7801534.1399999987</v>
      </c>
      <c r="GT4" s="5"/>
      <c r="GU4" s="29">
        <f>CU4-CW4</f>
        <v>5450766.3799999999</v>
      </c>
    </row>
    <row r="5" spans="1:203">
      <c r="A5" s="26" t="s">
        <v>249</v>
      </c>
      <c r="C5" s="29"/>
      <c r="E5" s="29"/>
      <c r="G5" s="29"/>
      <c r="I5" s="29">
        <v>147169069.36000001</v>
      </c>
      <c r="K5" s="29">
        <v>389760973.29000002</v>
      </c>
      <c r="M5" s="29">
        <v>290823496.92000002</v>
      </c>
      <c r="O5" s="29">
        <v>230678092.84999999</v>
      </c>
      <c r="Q5" s="29">
        <v>193679880.59</v>
      </c>
      <c r="S5" s="29">
        <v>228717610.72</v>
      </c>
      <c r="U5" s="29">
        <v>146239251.28</v>
      </c>
      <c r="W5" s="29">
        <v>105840298.23</v>
      </c>
      <c r="Y5" s="29">
        <v>78987490.700000003</v>
      </c>
      <c r="AA5" s="29">
        <v>93270173</v>
      </c>
      <c r="AC5" s="29">
        <v>56428073.780000001</v>
      </c>
      <c r="AE5" s="29">
        <v>44051386.82</v>
      </c>
      <c r="AG5" s="29">
        <v>23011269.309999999</v>
      </c>
      <c r="AI5" s="29">
        <v>88586128.879999995</v>
      </c>
      <c r="AK5" s="29">
        <v>47030110.079999998</v>
      </c>
      <c r="AM5" s="29">
        <v>41284138.810000002</v>
      </c>
      <c r="AO5" s="29">
        <v>24584290.52</v>
      </c>
      <c r="AQ5" s="29">
        <v>86800398.489999995</v>
      </c>
      <c r="AS5" s="29">
        <v>67244553.829999998</v>
      </c>
      <c r="AU5" s="29">
        <v>52904677.020000003</v>
      </c>
      <c r="AW5" s="29">
        <v>26398572.100000001</v>
      </c>
      <c r="AY5" s="29">
        <v>100727935.34</v>
      </c>
      <c r="BA5" s="29">
        <v>75056859.650000006</v>
      </c>
      <c r="BC5" s="29">
        <v>66871852.979999997</v>
      </c>
      <c r="BE5" s="29">
        <v>56927057.93</v>
      </c>
      <c r="BG5" s="29">
        <v>55811311.539999999</v>
      </c>
      <c r="BI5" s="29">
        <v>39990822.240000002</v>
      </c>
      <c r="BK5" s="29">
        <v>36210076.729999997</v>
      </c>
      <c r="BM5" s="29">
        <v>34780692.509999998</v>
      </c>
      <c r="BO5" s="29">
        <v>8971018.2400000002</v>
      </c>
      <c r="BQ5" s="29">
        <v>4275272.62</v>
      </c>
      <c r="BS5" s="29">
        <v>1879723.28</v>
      </c>
      <c r="BU5" s="29">
        <v>28716257.52</v>
      </c>
      <c r="BW5" s="29">
        <v>20792184.670000002</v>
      </c>
      <c r="BY5" s="29">
        <v>11063994.82</v>
      </c>
      <c r="CA5" s="29">
        <v>3113459.41</v>
      </c>
      <c r="CC5" s="29">
        <v>62772073.390000001</v>
      </c>
      <c r="CE5" s="29">
        <v>42919217.079999998</v>
      </c>
      <c r="CG5" s="29">
        <v>6779932</v>
      </c>
      <c r="CI5" s="29">
        <v>5014074.1500000004</v>
      </c>
      <c r="CK5" s="29">
        <v>52675879.969999999</v>
      </c>
      <c r="CM5" s="29">
        <v>28006344.789999999</v>
      </c>
      <c r="CO5" s="29">
        <v>13023404.050000001</v>
      </c>
      <c r="CQ5" s="29">
        <v>2508192.7000000002</v>
      </c>
      <c r="CS5" s="29">
        <v>44080398.770000003</v>
      </c>
      <c r="CU5" s="29">
        <v>24748009.190000001</v>
      </c>
      <c r="CW5" s="29">
        <v>9464383.25</v>
      </c>
      <c r="CY5" s="29">
        <v>46153235.920000002</v>
      </c>
      <c r="DA5" s="29">
        <v>34683509.490000002</v>
      </c>
      <c r="DB5" s="75"/>
      <c r="DC5" s="29"/>
      <c r="DD5" s="5"/>
      <c r="DE5" s="29"/>
      <c r="DF5" s="5"/>
      <c r="DG5" s="29"/>
      <c r="DH5" s="5"/>
      <c r="DI5" s="29">
        <f>I5</f>
        <v>147169069.36000001</v>
      </c>
      <c r="DJ5" s="5"/>
      <c r="DK5" s="29">
        <f>K5-M5</f>
        <v>98937476.370000005</v>
      </c>
      <c r="DL5" s="5"/>
      <c r="DM5" s="29">
        <f>M5-O5</f>
        <v>60145404.070000023</v>
      </c>
      <c r="DN5" s="5"/>
      <c r="DO5" s="29">
        <f>O5-Q5</f>
        <v>36998212.25999999</v>
      </c>
      <c r="DP5" s="5"/>
      <c r="DQ5" s="29">
        <f>Q5</f>
        <v>193679880.59</v>
      </c>
      <c r="DR5" s="5"/>
      <c r="DS5" s="29">
        <f>S5-U5</f>
        <v>82478359.439999998</v>
      </c>
      <c r="DT5" s="5"/>
      <c r="DU5" s="29">
        <f>U5-W5</f>
        <v>40398953.049999997</v>
      </c>
      <c r="DV5" s="5"/>
      <c r="DW5" s="29">
        <f>W5-Y5</f>
        <v>26852807.530000001</v>
      </c>
      <c r="DX5" s="5"/>
      <c r="DY5" s="29">
        <f>Y5</f>
        <v>78987490.700000003</v>
      </c>
      <c r="DZ5" s="5"/>
      <c r="EA5" s="29">
        <f>AA5-AC5</f>
        <v>36842099.219999999</v>
      </c>
      <c r="EB5" s="5"/>
      <c r="EC5" s="29">
        <f>AC5-AE5</f>
        <v>12376686.960000001</v>
      </c>
      <c r="ED5" s="5"/>
      <c r="EE5" s="29">
        <f>AE5-AG5</f>
        <v>21040117.510000002</v>
      </c>
      <c r="EF5" s="5"/>
      <c r="EG5" s="29">
        <f>AG5</f>
        <v>23011269.309999999</v>
      </c>
      <c r="EH5" s="5"/>
      <c r="EI5" s="29">
        <f>AI5-AK5</f>
        <v>41556018.799999997</v>
      </c>
      <c r="EJ5" s="5"/>
      <c r="EK5" s="29">
        <f>AK5-AM5</f>
        <v>5745971.2699999958</v>
      </c>
      <c r="EL5" s="5"/>
      <c r="EM5" s="29">
        <f>AM5-AO5</f>
        <v>16699848.290000003</v>
      </c>
      <c r="EN5" s="5"/>
      <c r="EO5" s="29">
        <f>AO5</f>
        <v>24584290.52</v>
      </c>
      <c r="EP5" s="5"/>
      <c r="EQ5" s="29">
        <f>AQ5-AS5</f>
        <v>19555844.659999996</v>
      </c>
      <c r="ER5" s="5"/>
      <c r="ES5" s="29">
        <f>AS5-AU5</f>
        <v>14339876.809999995</v>
      </c>
      <c r="ET5" s="5"/>
      <c r="EU5" s="29">
        <f>AU5-AW5</f>
        <v>26506104.920000002</v>
      </c>
      <c r="EV5" s="5"/>
      <c r="EW5" s="29">
        <f>AW5</f>
        <v>26398572.100000001</v>
      </c>
      <c r="EX5" s="5"/>
      <c r="EY5" s="29">
        <f>AY5-BA5</f>
        <v>25671075.689999998</v>
      </c>
      <c r="EZ5" s="5"/>
      <c r="FA5" s="29">
        <f>BA5-BC5</f>
        <v>8185006.6700000092</v>
      </c>
      <c r="FB5" s="5"/>
      <c r="FC5" s="29">
        <f>BC5-BE5</f>
        <v>9944795.049999997</v>
      </c>
      <c r="FD5" s="5"/>
      <c r="FE5" s="29">
        <f>BE5</f>
        <v>56927057.93</v>
      </c>
      <c r="FF5" s="5"/>
      <c r="FG5" s="29">
        <f>BG5-BI5</f>
        <v>15820489.299999997</v>
      </c>
      <c r="FH5" s="5"/>
      <c r="FI5" s="29">
        <f>BI5-BK5</f>
        <v>3780745.5100000054</v>
      </c>
      <c r="FJ5" s="5"/>
      <c r="FK5" s="29">
        <f>BK5-BM5</f>
        <v>1429384.2199999988</v>
      </c>
      <c r="FL5" s="5"/>
      <c r="FM5" s="29">
        <f>BM5-BO5</f>
        <v>25809674.269999996</v>
      </c>
      <c r="FN5" s="5"/>
      <c r="FO5" s="29">
        <f>BO5-BQ5</f>
        <v>4695745.62</v>
      </c>
      <c r="FP5" s="5"/>
      <c r="FQ5" s="29">
        <f>BQ5-BS5</f>
        <v>2395549.34</v>
      </c>
      <c r="FR5" s="5"/>
      <c r="FS5" s="29">
        <f>BS5</f>
        <v>1879723.28</v>
      </c>
      <c r="FT5" s="5"/>
      <c r="FU5" s="29">
        <f>BU5-BW5</f>
        <v>7924072.8499999978</v>
      </c>
      <c r="FV5" s="5"/>
      <c r="FW5" s="29">
        <f>BW5-BY5</f>
        <v>9728189.8500000015</v>
      </c>
      <c r="FX5" s="5"/>
      <c r="FY5" s="29">
        <f>BY5-CA5</f>
        <v>7950535.4100000001</v>
      </c>
      <c r="FZ5" s="5"/>
      <c r="GA5" s="29">
        <f>CA5</f>
        <v>3113459.41</v>
      </c>
      <c r="GB5" s="5"/>
      <c r="GC5" s="29">
        <f>CC5-CE5</f>
        <v>19852856.310000002</v>
      </c>
      <c r="GD5" s="5"/>
      <c r="GE5" s="29">
        <f>CE5-CG5</f>
        <v>36139285.079999998</v>
      </c>
      <c r="GF5" s="5"/>
      <c r="GG5" s="29">
        <f>CG5-CI5</f>
        <v>1765857.8499999996</v>
      </c>
      <c r="GH5" s="5"/>
      <c r="GI5" s="29">
        <f>CI5</f>
        <v>5014074.1500000004</v>
      </c>
      <c r="GJ5" s="5"/>
      <c r="GK5" s="29">
        <f>CK5-CM5</f>
        <v>24669535.18</v>
      </c>
      <c r="GL5" s="5"/>
      <c r="GM5" s="29">
        <f>CM5-CO5</f>
        <v>14982940.739999998</v>
      </c>
      <c r="GN5" s="5"/>
      <c r="GO5" s="29">
        <f>CO5-CQ5</f>
        <v>10515211.350000001</v>
      </c>
      <c r="GP5" s="5"/>
      <c r="GQ5" s="29">
        <f>CQ5</f>
        <v>2508192.7000000002</v>
      </c>
      <c r="GR5" s="5"/>
      <c r="GS5" s="29">
        <f>CS5-CU5</f>
        <v>19332389.580000002</v>
      </c>
      <c r="GT5" s="5"/>
      <c r="GU5" s="29">
        <f>CU5-CW5</f>
        <v>15283625.940000001</v>
      </c>
    </row>
    <row r="6" spans="1:203">
      <c r="A6" s="17"/>
      <c r="C6" s="29"/>
      <c r="E6" s="29"/>
      <c r="G6" s="29"/>
      <c r="I6" s="29"/>
      <c r="K6" s="29"/>
      <c r="M6" s="29"/>
      <c r="O6" s="29"/>
      <c r="Q6" s="29"/>
      <c r="S6" s="29"/>
      <c r="U6" s="29"/>
      <c r="W6" s="29"/>
      <c r="Y6" s="29"/>
      <c r="AA6" s="29"/>
      <c r="AC6" s="29"/>
      <c r="AE6" s="29"/>
      <c r="AG6" s="29"/>
      <c r="AI6" s="29"/>
      <c r="AK6" s="29"/>
      <c r="AM6" s="29"/>
      <c r="AO6" s="29"/>
      <c r="AQ6" s="29"/>
      <c r="AS6" s="29"/>
      <c r="AU6" s="29"/>
      <c r="AW6" s="29"/>
      <c r="AY6" s="29"/>
      <c r="BA6" s="29"/>
      <c r="BC6" s="29"/>
      <c r="BE6" s="29"/>
      <c r="BG6" s="29"/>
      <c r="BI6" s="29"/>
      <c r="BK6" s="29"/>
      <c r="BM6" s="29"/>
      <c r="BO6" s="29"/>
      <c r="BQ6" s="29"/>
      <c r="BS6" s="29"/>
      <c r="BU6" s="29"/>
      <c r="BW6" s="29"/>
      <c r="BY6" s="29"/>
      <c r="CA6" s="29"/>
      <c r="CC6" s="29"/>
      <c r="CE6" s="29"/>
      <c r="CG6" s="29"/>
      <c r="CI6" s="29"/>
      <c r="CK6" s="29"/>
      <c r="CM6" s="29"/>
      <c r="CO6" s="29"/>
      <c r="CQ6" s="29"/>
      <c r="CS6" s="29"/>
      <c r="CU6" s="29"/>
      <c r="CW6" s="29"/>
      <c r="CY6" s="29"/>
      <c r="DA6" s="29"/>
      <c r="DB6" s="76"/>
      <c r="DC6" s="29"/>
      <c r="DD6" s="5"/>
      <c r="DE6" s="29"/>
      <c r="DF6" s="5"/>
      <c r="DG6" s="29"/>
      <c r="DH6" s="5"/>
      <c r="DI6" s="29"/>
      <c r="DJ6" s="5"/>
      <c r="DK6" s="29"/>
      <c r="DL6" s="5"/>
      <c r="DM6" s="29"/>
      <c r="DN6" s="5"/>
      <c r="DO6" s="29"/>
      <c r="DP6" s="5"/>
      <c r="DQ6" s="29"/>
      <c r="DR6" s="5"/>
      <c r="DS6" s="29"/>
      <c r="DT6" s="5"/>
      <c r="DU6" s="29"/>
      <c r="DV6" s="5"/>
      <c r="DW6" s="29"/>
      <c r="DX6" s="5"/>
      <c r="DY6" s="29"/>
      <c r="DZ6" s="5"/>
      <c r="EA6" s="29"/>
      <c r="EB6" s="5"/>
      <c r="EC6" s="29"/>
      <c r="ED6" s="5"/>
      <c r="EE6" s="29"/>
      <c r="EF6" s="5"/>
      <c r="EG6" s="29"/>
      <c r="EH6" s="5"/>
      <c r="EI6" s="29"/>
      <c r="EJ6" s="5"/>
      <c r="EK6" s="29"/>
      <c r="EL6" s="5"/>
      <c r="EM6" s="29"/>
      <c r="EN6" s="5"/>
      <c r="EO6" s="29"/>
      <c r="EP6" s="5"/>
      <c r="EQ6" s="29"/>
      <c r="ER6" s="5"/>
      <c r="ES6" s="29"/>
      <c r="ET6" s="5"/>
      <c r="EU6" s="29"/>
      <c r="EV6" s="5"/>
      <c r="EW6" s="29"/>
      <c r="EX6" s="5"/>
      <c r="EY6" s="29"/>
      <c r="EZ6" s="5"/>
      <c r="FA6" s="29"/>
      <c r="FB6" s="5"/>
      <c r="FC6" s="29"/>
      <c r="FD6" s="5"/>
      <c r="FE6" s="29"/>
      <c r="FF6" s="5"/>
      <c r="FG6" s="29"/>
      <c r="FH6" s="5"/>
      <c r="FI6" s="29"/>
      <c r="FJ6" s="5"/>
      <c r="FK6" s="29"/>
      <c r="FL6" s="5"/>
      <c r="FM6" s="29"/>
      <c r="FN6" s="5"/>
      <c r="FO6" s="29"/>
      <c r="FP6" s="5"/>
      <c r="FQ6" s="29"/>
      <c r="FR6" s="5"/>
      <c r="FS6" s="29"/>
      <c r="FT6" s="5"/>
      <c r="FU6" s="29"/>
      <c r="FV6" s="5"/>
      <c r="FW6" s="29"/>
      <c r="FX6" s="5"/>
      <c r="FY6" s="29"/>
      <c r="FZ6" s="5"/>
      <c r="GA6" s="29"/>
      <c r="GB6" s="5"/>
      <c r="GC6" s="29"/>
      <c r="GD6" s="5"/>
      <c r="GE6" s="29"/>
      <c r="GF6" s="5"/>
      <c r="GG6" s="29"/>
      <c r="GH6" s="5"/>
      <c r="GI6" s="29"/>
      <c r="GJ6" s="5"/>
      <c r="GK6" s="29"/>
      <c r="GL6" s="5"/>
      <c r="GM6" s="29"/>
      <c r="GN6" s="5"/>
      <c r="GO6" s="29"/>
      <c r="GP6" s="5"/>
      <c r="GQ6" s="29"/>
      <c r="GR6" s="5"/>
      <c r="GS6" s="29"/>
      <c r="GT6" s="5"/>
      <c r="GU6" s="29"/>
    </row>
    <row r="7" spans="1:203">
      <c r="A7" s="19" t="s">
        <v>61</v>
      </c>
      <c r="C7" s="30"/>
      <c r="E7" s="30"/>
      <c r="G7" s="30"/>
      <c r="I7" s="30">
        <f>SUM(I4:I6)</f>
        <v>159056920.83000001</v>
      </c>
      <c r="K7" s="30">
        <f>SUM(K4:K6)</f>
        <v>431414039.30000001</v>
      </c>
      <c r="M7" s="30">
        <f>SUM(M4:M6)</f>
        <v>321727527.62</v>
      </c>
      <c r="O7" s="30">
        <f>SUM(O4:O6)</f>
        <v>250381657.78</v>
      </c>
      <c r="Q7" s="30">
        <f>SUM(Q4:Q6)</f>
        <v>203648036.25999999</v>
      </c>
      <c r="S7" s="30">
        <f>SUM(S4:S6)</f>
        <v>254285460.06</v>
      </c>
      <c r="U7" s="30">
        <f>SUM(U4:U6)</f>
        <v>164214605.28</v>
      </c>
      <c r="W7" s="30">
        <f>SUM(W4:W6)</f>
        <v>117977219.97</v>
      </c>
      <c r="Y7" s="30">
        <f>SUM(Y4:Y6)</f>
        <v>85543945.340000004</v>
      </c>
      <c r="AA7" s="30">
        <f>SUM(AA4:AA6)</f>
        <v>112892797.44</v>
      </c>
      <c r="AC7" s="30">
        <f>SUM(AC4:AC6)</f>
        <v>70691518.530000001</v>
      </c>
      <c r="AE7" s="30">
        <f>SUM(AE4:AE6)</f>
        <v>53801669.840000004</v>
      </c>
      <c r="AG7" s="30">
        <f>SUM(AG4:AG6)</f>
        <v>28836009.619999997</v>
      </c>
      <c r="AI7" s="30">
        <f>SUM(AI4:AI6)</f>
        <v>103222078.41</v>
      </c>
      <c r="AK7" s="30">
        <f>SUM(AK4:AK6)</f>
        <v>58208867.280000001</v>
      </c>
      <c r="AM7" s="30">
        <f>SUM(AM4:AM6)</f>
        <v>49128108.370000005</v>
      </c>
      <c r="AO7" s="30">
        <f>SUM(AO4:AO6)</f>
        <v>28794711.23</v>
      </c>
      <c r="AQ7" s="30">
        <f>SUM(AQ4:AQ6)</f>
        <v>99406294.079999998</v>
      </c>
      <c r="AS7" s="30">
        <f>SUM(AS4:AS6)</f>
        <v>77111117.039999992</v>
      </c>
      <c r="AU7" s="30">
        <f>SUM(AU4:AU6)</f>
        <v>59846057.580000006</v>
      </c>
      <c r="AW7" s="30">
        <f>SUM(AW4:AW6)</f>
        <v>30199707.920000002</v>
      </c>
      <c r="AY7" s="30">
        <f>SUM(AY4:AY6)</f>
        <v>114942652.65000001</v>
      </c>
      <c r="BA7" s="30">
        <f>SUM(BA4:BA6)</f>
        <v>87007753.950000003</v>
      </c>
      <c r="BC7" s="30">
        <f>SUM(BC4:BC6)</f>
        <v>75906102.539999992</v>
      </c>
      <c r="BE7" s="30">
        <f>SUM(BE4:BE6)</f>
        <v>61343949.939999998</v>
      </c>
      <c r="BG7" s="30">
        <f>SUM(BG4:BG6)</f>
        <v>79700472.019999996</v>
      </c>
      <c r="BI7" s="30">
        <f>SUM(BI4:BI6)</f>
        <v>61776852.370000005</v>
      </c>
      <c r="BK7" s="30">
        <f>SUM(BK4:BK6)</f>
        <v>55556784.679999992</v>
      </c>
      <c r="BM7" s="30">
        <f>SUM(BM4:BM6)</f>
        <v>50497577.569999993</v>
      </c>
      <c r="BO7" s="30">
        <f>SUM(BO4:BO6)</f>
        <v>20419684.390000001</v>
      </c>
      <c r="BQ7" s="30">
        <f>SUM(BQ4:BQ6)</f>
        <v>12928536.120000001</v>
      </c>
      <c r="BS7" s="30">
        <f>SUM(BS4:BS6)</f>
        <v>5119594.16</v>
      </c>
      <c r="BU7" s="30">
        <f>SUM(BU4:BU6)</f>
        <v>44516761.590000004</v>
      </c>
      <c r="BW7" s="30">
        <f>SUM(BW4:BW6)</f>
        <v>28055642.140000001</v>
      </c>
      <c r="BY7" s="30">
        <f>SUM(BY4:BY6)</f>
        <v>16142042.109999999</v>
      </c>
      <c r="CA7" s="30">
        <f>SUM(CA4:CA6)</f>
        <v>5638261.25</v>
      </c>
      <c r="CC7" s="30">
        <f>SUM(CC4:CC6)</f>
        <v>76997560.719999999</v>
      </c>
      <c r="CE7" s="30">
        <f>SUM(CE4:CE6)</f>
        <v>52449090.339999996</v>
      </c>
      <c r="CG7" s="30">
        <f>SUM(CG4:CG6)</f>
        <v>13402630.42</v>
      </c>
      <c r="CI7" s="30">
        <f>SUM(CI4:CI6)</f>
        <v>8381426.8900000006</v>
      </c>
      <c r="CK7" s="30">
        <f>SUM(CK4:CK6)</f>
        <v>66787219.140000001</v>
      </c>
      <c r="CM7" s="30">
        <f>SUM(CM4:CM6)</f>
        <v>38784210.670000002</v>
      </c>
      <c r="CO7" s="30">
        <f>SUM(CO4:CO6)</f>
        <v>21349778.450000003</v>
      </c>
      <c r="CQ7" s="30">
        <f>SUM(CQ4:CQ6)</f>
        <v>6016025.8700000001</v>
      </c>
      <c r="CS7" s="30">
        <f>SUM(CS4:CS6)</f>
        <v>64403595.079999998</v>
      </c>
      <c r="CU7" s="30">
        <f>SUM(CU4:CU6)</f>
        <v>37269671.359999999</v>
      </c>
      <c r="CW7" s="30">
        <f>SUM(CW4:CW6)</f>
        <v>16535279.039999999</v>
      </c>
      <c r="CY7" s="30">
        <f>SUM(CY4:CY6)</f>
        <v>57757942.57</v>
      </c>
      <c r="CZ7" s="30"/>
      <c r="DA7" s="30">
        <f>SUM(DA4:DA6)</f>
        <v>45487189.260000005</v>
      </c>
      <c r="DB7" s="77"/>
      <c r="DC7" s="30"/>
      <c r="DD7" s="5"/>
      <c r="DE7" s="30"/>
      <c r="DF7" s="5"/>
      <c r="DG7" s="30"/>
      <c r="DH7" s="5"/>
      <c r="DI7" s="30">
        <f>DI4+DI5</f>
        <v>159056920.83000001</v>
      </c>
      <c r="DJ7" s="5"/>
      <c r="DK7" s="30">
        <f>DK4+DK5</f>
        <v>109686511.68000001</v>
      </c>
      <c r="DL7" s="5"/>
      <c r="DM7" s="30">
        <f>DM4+DM5</f>
        <v>71345869.840000018</v>
      </c>
      <c r="DN7" s="5"/>
      <c r="DO7" s="30">
        <f>DO4+DO5</f>
        <v>46733621.519999988</v>
      </c>
      <c r="DP7" s="5"/>
      <c r="DQ7" s="30">
        <f>DQ4+DQ5</f>
        <v>203648036.25999999</v>
      </c>
      <c r="DR7" s="5"/>
      <c r="DS7" s="30">
        <f>DS4+DS5</f>
        <v>90070854.780000001</v>
      </c>
      <c r="DT7" s="5"/>
      <c r="DU7" s="30">
        <f>DU4+DU5</f>
        <v>46237385.309999995</v>
      </c>
      <c r="DV7" s="5"/>
      <c r="DW7" s="30">
        <f>DW4+DW5</f>
        <v>32433274.630000003</v>
      </c>
      <c r="DX7" s="5"/>
      <c r="DY7" s="30">
        <f>DY4+DY5</f>
        <v>85543945.340000004</v>
      </c>
      <c r="DZ7" s="5"/>
      <c r="EA7" s="30">
        <f>EA4+EA5</f>
        <v>42201278.909999996</v>
      </c>
      <c r="EB7" s="5"/>
      <c r="EC7" s="30">
        <f>EC4+EC5</f>
        <v>16889848.690000001</v>
      </c>
      <c r="ED7" s="5"/>
      <c r="EE7" s="30">
        <f>EE4+EE5</f>
        <v>24965660.220000003</v>
      </c>
      <c r="EF7" s="5"/>
      <c r="EG7" s="30">
        <f>EG4+EG5</f>
        <v>28836009.619999997</v>
      </c>
      <c r="EH7" s="5"/>
      <c r="EI7" s="30">
        <f>EI4+EI5</f>
        <v>45013211.129999995</v>
      </c>
      <c r="EJ7" s="5"/>
      <c r="EK7" s="30">
        <f>EK4+EK5</f>
        <v>9080758.9099999964</v>
      </c>
      <c r="EL7" s="5"/>
      <c r="EM7" s="30">
        <f>EM4+EM5</f>
        <v>20333397.140000001</v>
      </c>
      <c r="EN7" s="5"/>
      <c r="EO7" s="30">
        <f>EO4+EO5</f>
        <v>28794711.23</v>
      </c>
      <c r="EP7" s="5"/>
      <c r="EQ7" s="30">
        <f>EQ4+EQ5</f>
        <v>22295177.039999995</v>
      </c>
      <c r="ER7" s="5"/>
      <c r="ES7" s="30">
        <f>ES4+ES5</f>
        <v>17265059.459999993</v>
      </c>
      <c r="ET7" s="5"/>
      <c r="EU7" s="30">
        <f>EU4+EU5</f>
        <v>29646349.660000004</v>
      </c>
      <c r="EV7" s="5"/>
      <c r="EW7" s="30">
        <f>EW4+EW5</f>
        <v>30199707.920000002</v>
      </c>
      <c r="EX7" s="5"/>
      <c r="EY7" s="30">
        <f>EY4+EY5</f>
        <v>27934898.699999996</v>
      </c>
      <c r="EZ7" s="5"/>
      <c r="FA7" s="30">
        <f>FA4+FA5</f>
        <v>11101651.410000009</v>
      </c>
      <c r="FB7" s="5"/>
      <c r="FC7" s="30">
        <f>FC4+FC5</f>
        <v>14562152.599999998</v>
      </c>
      <c r="FD7" s="5"/>
      <c r="FE7" s="30">
        <f>FE4+FE5</f>
        <v>61343949.939999998</v>
      </c>
      <c r="FF7" s="5"/>
      <c r="FG7" s="30">
        <f>FG4+FG5</f>
        <v>17923619.649999995</v>
      </c>
      <c r="FH7" s="5"/>
      <c r="FI7" s="30">
        <f>FI4+FI5</f>
        <v>6220067.6900000051</v>
      </c>
      <c r="FJ7" s="5"/>
      <c r="FK7" s="30">
        <f>FK4+FK5</f>
        <v>5059207.1099999994</v>
      </c>
      <c r="FL7" s="5"/>
      <c r="FM7" s="30">
        <f>FM4+FM5</f>
        <v>30077893.179999992</v>
      </c>
      <c r="FN7" s="5"/>
      <c r="FO7" s="30">
        <f>FO4+FO5</f>
        <v>7491148.2700000005</v>
      </c>
      <c r="FP7" s="5"/>
      <c r="FQ7" s="30">
        <f>FQ4+FQ5</f>
        <v>7808941.96</v>
      </c>
      <c r="FR7" s="5"/>
      <c r="FS7" s="30">
        <f>FS4+FS5</f>
        <v>5119594.16</v>
      </c>
      <c r="FT7" s="5"/>
      <c r="FU7" s="30">
        <f>FU4+FU5</f>
        <v>16461119.449999997</v>
      </c>
      <c r="FV7" s="5"/>
      <c r="FW7" s="30">
        <f>FW4+FW5</f>
        <v>11913600.030000001</v>
      </c>
      <c r="FX7" s="5"/>
      <c r="FY7" s="30">
        <f>FY4+FY5</f>
        <v>10503780.859999999</v>
      </c>
      <c r="FZ7" s="5"/>
      <c r="GA7" s="30">
        <f>GA4+GA5</f>
        <v>5638261.25</v>
      </c>
      <c r="GB7" s="5"/>
      <c r="GC7" s="30">
        <f>GC4+GC5</f>
        <v>24548470.380000003</v>
      </c>
      <c r="GD7" s="5"/>
      <c r="GE7" s="30">
        <f>GE4+GE5</f>
        <v>39046459.920000002</v>
      </c>
      <c r="GF7" s="5"/>
      <c r="GG7" s="30">
        <f>GG4+GG5</f>
        <v>5021203.5299999993</v>
      </c>
      <c r="GH7" s="5"/>
      <c r="GI7" s="30">
        <f>GI4+GI5</f>
        <v>8381426.8900000006</v>
      </c>
      <c r="GJ7" s="5"/>
      <c r="GK7" s="30">
        <f>GK4+GK5</f>
        <v>28003008.469999999</v>
      </c>
      <c r="GL7" s="5"/>
      <c r="GM7" s="30">
        <f>GM4+GM5</f>
        <v>17434432.219999999</v>
      </c>
      <c r="GN7" s="5"/>
      <c r="GO7" s="30">
        <f>GO4+GO5</f>
        <v>15333752.580000002</v>
      </c>
      <c r="GP7" s="5"/>
      <c r="GQ7" s="30">
        <f>GQ4+GQ5</f>
        <v>6016025.8700000001</v>
      </c>
      <c r="GR7" s="5"/>
      <c r="GS7" s="30">
        <f>GS4+GS5</f>
        <v>27133923.719999999</v>
      </c>
      <c r="GT7" s="5"/>
      <c r="GU7" s="30">
        <f>GU4+GU5</f>
        <v>20734392.32</v>
      </c>
    </row>
    <row r="8" spans="1:203">
      <c r="A8" s="25"/>
      <c r="C8" s="17"/>
      <c r="E8" s="17"/>
      <c r="G8" s="17"/>
      <c r="I8" s="17"/>
      <c r="K8" s="17"/>
      <c r="M8" s="17"/>
      <c r="O8" s="17"/>
      <c r="Q8" s="17"/>
      <c r="S8" s="17"/>
      <c r="U8" s="17"/>
      <c r="W8" s="17"/>
      <c r="Y8" s="17"/>
      <c r="AA8" s="17"/>
      <c r="AC8" s="17"/>
      <c r="AE8" s="17"/>
      <c r="AG8" s="17"/>
      <c r="AI8" s="17"/>
      <c r="AK8" s="17"/>
      <c r="AM8" s="17"/>
      <c r="AO8" s="17"/>
      <c r="AQ8" s="17"/>
      <c r="AS8" s="17"/>
      <c r="AU8" s="17"/>
      <c r="AW8" s="17"/>
      <c r="AY8" s="17"/>
      <c r="BA8" s="17"/>
      <c r="BC8" s="17"/>
      <c r="BE8" s="17"/>
      <c r="BG8" s="17"/>
      <c r="BI8" s="17"/>
      <c r="BK8" s="17"/>
      <c r="BM8" s="17"/>
      <c r="BO8" s="17"/>
      <c r="BQ8" s="17"/>
      <c r="BS8" s="17"/>
      <c r="BU8" s="17"/>
      <c r="BW8" s="17"/>
      <c r="BY8" s="17"/>
      <c r="CA8" s="17"/>
      <c r="CC8" s="17"/>
      <c r="CE8" s="17"/>
      <c r="CG8" s="17"/>
      <c r="CI8" s="17"/>
      <c r="CK8" s="17"/>
      <c r="CM8" s="17"/>
      <c r="CO8" s="17"/>
      <c r="CQ8" s="17"/>
      <c r="CS8" s="17"/>
      <c r="CU8" s="17"/>
      <c r="CW8" s="17"/>
      <c r="CY8" s="17"/>
      <c r="DA8" s="17"/>
      <c r="DB8" s="78"/>
      <c r="DC8" s="17"/>
      <c r="DD8" s="5"/>
      <c r="DE8" s="17"/>
      <c r="DF8" s="5"/>
      <c r="DG8" s="17"/>
      <c r="DH8" s="5"/>
      <c r="DI8" s="17"/>
      <c r="DJ8" s="5"/>
      <c r="DK8" s="17"/>
      <c r="DL8" s="5"/>
      <c r="DM8" s="17"/>
      <c r="DN8" s="5"/>
      <c r="DO8" s="17"/>
      <c r="DP8" s="5"/>
      <c r="DQ8" s="17"/>
      <c r="DR8" s="5"/>
      <c r="DS8" s="17"/>
      <c r="DT8" s="5"/>
      <c r="DU8" s="17"/>
      <c r="DV8" s="5"/>
      <c r="DW8" s="17"/>
      <c r="DX8" s="5"/>
      <c r="DY8" s="17"/>
      <c r="DZ8" s="5"/>
      <c r="EA8" s="17"/>
      <c r="EB8" s="5"/>
      <c r="EC8" s="17"/>
      <c r="ED8" s="5"/>
      <c r="EE8" s="17"/>
      <c r="EF8" s="5"/>
      <c r="EG8" s="17"/>
      <c r="EH8" s="5"/>
      <c r="EI8" s="17"/>
      <c r="EJ8" s="5"/>
      <c r="EK8" s="17"/>
      <c r="EL8" s="5"/>
      <c r="EM8" s="17"/>
      <c r="EN8" s="5"/>
      <c r="EO8" s="17"/>
      <c r="EP8" s="5"/>
      <c r="EQ8" s="17"/>
      <c r="ER8" s="5"/>
      <c r="ES8" s="17"/>
      <c r="ET8" s="5"/>
      <c r="EU8" s="17"/>
      <c r="EV8" s="5"/>
      <c r="EW8" s="17"/>
      <c r="EX8" s="5"/>
      <c r="EY8" s="17"/>
      <c r="EZ8" s="5"/>
      <c r="FA8" s="17"/>
      <c r="FB8" s="5"/>
      <c r="FC8" s="17"/>
      <c r="FD8" s="5"/>
      <c r="FE8" s="17"/>
      <c r="FF8" s="5"/>
      <c r="FG8" s="17"/>
      <c r="FH8" s="5"/>
      <c r="FI8" s="17"/>
      <c r="FJ8" s="5"/>
      <c r="FK8" s="17"/>
      <c r="FL8" s="5"/>
      <c r="FM8" s="17"/>
      <c r="FN8" s="5"/>
      <c r="FO8" s="17"/>
      <c r="FP8" s="5"/>
      <c r="FQ8" s="17"/>
      <c r="FR8" s="5"/>
      <c r="FS8" s="17"/>
      <c r="FT8" s="5"/>
      <c r="FU8" s="17"/>
      <c r="FV8" s="5"/>
      <c r="FW8" s="17"/>
      <c r="FX8" s="5"/>
      <c r="FY8" s="17"/>
      <c r="FZ8" s="5"/>
      <c r="GA8" s="17"/>
      <c r="GB8" s="5"/>
      <c r="GC8" s="17"/>
      <c r="GD8" s="5"/>
      <c r="GE8" s="17"/>
      <c r="GF8" s="5"/>
      <c r="GG8" s="17"/>
      <c r="GH8" s="5"/>
      <c r="GI8" s="17"/>
      <c r="GJ8" s="5"/>
      <c r="GK8" s="17"/>
      <c r="GL8" s="5"/>
      <c r="GM8" s="17"/>
      <c r="GN8" s="5"/>
      <c r="GO8" s="17"/>
      <c r="GP8" s="5"/>
      <c r="GQ8" s="17"/>
      <c r="GR8" s="5"/>
      <c r="GS8" s="17"/>
      <c r="GT8" s="5"/>
      <c r="GU8" s="17"/>
    </row>
    <row r="9" spans="1:203">
      <c r="A9" s="26" t="s">
        <v>86</v>
      </c>
      <c r="C9" s="29"/>
      <c r="E9" s="29"/>
      <c r="G9" s="29"/>
      <c r="I9" s="29">
        <v>-7526032.8099999996</v>
      </c>
      <c r="K9" s="29">
        <v>-29356315.099999998</v>
      </c>
      <c r="M9" s="29">
        <v>-21062918.98</v>
      </c>
      <c r="O9" s="29">
        <v>-14028833.92</v>
      </c>
      <c r="Q9" s="29">
        <v>-6386534.8999999994</v>
      </c>
      <c r="S9" s="29">
        <v>-19603423.129999999</v>
      </c>
      <c r="U9" s="29">
        <v>-14293110.550000001</v>
      </c>
      <c r="W9" s="29">
        <v>-9641716.7999999989</v>
      </c>
      <c r="Y9" s="29">
        <v>-3878495.8600000003</v>
      </c>
      <c r="AA9" s="29">
        <v>-11891872.289999999</v>
      </c>
      <c r="AC9" s="29">
        <v>-9117005.3900000006</v>
      </c>
      <c r="AE9" s="29">
        <v>-6148187.3199999994</v>
      </c>
      <c r="AG9" s="29">
        <v>-3474167.65</v>
      </c>
      <c r="AI9" s="29">
        <v>-11070800</v>
      </c>
      <c r="AK9" s="29">
        <v>-8181123.4200000009</v>
      </c>
      <c r="AM9" s="29">
        <v>-5821205.8000000007</v>
      </c>
      <c r="AO9" s="29">
        <v>-3311497.13</v>
      </c>
      <c r="AQ9" s="29">
        <v>-10766969.32</v>
      </c>
      <c r="AS9" s="29">
        <v>-8292870.9500000002</v>
      </c>
      <c r="AU9" s="29">
        <v>-5695553.4699999997</v>
      </c>
      <c r="AW9" s="29">
        <v>-2997307.95</v>
      </c>
      <c r="AY9" s="29">
        <v>-11571646.17</v>
      </c>
      <c r="BA9" s="29">
        <v>-9299770.5700000003</v>
      </c>
      <c r="BC9" s="29">
        <v>-7054719.129999999</v>
      </c>
      <c r="BE9" s="29">
        <v>-3412854.7</v>
      </c>
      <c r="BG9" s="29">
        <v>-20523859.139999997</v>
      </c>
      <c r="BI9" s="29">
        <v>-18044972.450000003</v>
      </c>
      <c r="BK9" s="29">
        <v>-15771019.699999999</v>
      </c>
      <c r="BM9" s="29">
        <v>-13062705.080000002</v>
      </c>
      <c r="BO9" s="29">
        <v>-10203034.359999999</v>
      </c>
      <c r="BQ9" s="29">
        <v>-7739016.0399999991</v>
      </c>
      <c r="BS9" s="29">
        <v>-3088107.1999999997</v>
      </c>
      <c r="BU9" s="29">
        <v>-12151614.16</v>
      </c>
      <c r="BW9" s="29">
        <v>-6967420.1199999992</v>
      </c>
      <c r="BY9" s="29">
        <v>-4732575.2399999993</v>
      </c>
      <c r="CA9" s="29">
        <v>-2090196.16</v>
      </c>
      <c r="CC9" s="29">
        <v>-12885536.050000001</v>
      </c>
      <c r="CE9" s="29">
        <v>-8721287.6600000001</v>
      </c>
      <c r="CG9" s="29">
        <v>-6128116.3099999996</v>
      </c>
      <c r="CI9" s="29">
        <v>-3003961.93</v>
      </c>
      <c r="CK9" s="29">
        <v>-12984053.77</v>
      </c>
      <c r="CM9" s="5">
        <v>-9845540.5905993134</v>
      </c>
      <c r="CO9" s="5">
        <v>-8113505.2570662033</v>
      </c>
      <c r="CQ9" s="5">
        <v>-3079064.2935331026</v>
      </c>
      <c r="CS9" s="5">
        <v>-16360610.85</v>
      </c>
      <c r="CU9" s="5">
        <v>-10368343.125121132</v>
      </c>
      <c r="CW9" s="5">
        <v>-6069882.1967474185</v>
      </c>
      <c r="CY9" s="5">
        <v>-3894815.6899999995</v>
      </c>
      <c r="DA9" s="5">
        <v>-4461659.5500000007</v>
      </c>
      <c r="DB9" s="75"/>
      <c r="DC9" s="29"/>
      <c r="DD9" s="5"/>
      <c r="DE9" s="29"/>
      <c r="DF9" s="5"/>
      <c r="DG9" s="29"/>
      <c r="DH9" s="5"/>
      <c r="DI9" s="29">
        <f t="shared" ref="DI9:DI14" si="0">I9</f>
        <v>-7526032.8099999996</v>
      </c>
      <c r="DJ9" s="5"/>
      <c r="DK9" s="29">
        <f t="shared" ref="DK9:DO14" si="1">K9-M9</f>
        <v>-8293396.1199999973</v>
      </c>
      <c r="DL9" s="5"/>
      <c r="DM9" s="29">
        <f t="shared" si="1"/>
        <v>-7034085.0600000005</v>
      </c>
      <c r="DN9" s="5"/>
      <c r="DO9" s="29">
        <f t="shared" si="1"/>
        <v>-7642299.0200000005</v>
      </c>
      <c r="DP9" s="5"/>
      <c r="DQ9" s="29">
        <f t="shared" ref="DQ9:DQ14" si="2">Q9</f>
        <v>-6386534.8999999994</v>
      </c>
      <c r="DR9" s="5"/>
      <c r="DS9" s="29">
        <f t="shared" ref="DS9:DW14" si="3">S9-U9</f>
        <v>-5310312.5799999982</v>
      </c>
      <c r="DT9" s="5"/>
      <c r="DU9" s="29">
        <f t="shared" si="3"/>
        <v>-4651393.7500000019</v>
      </c>
      <c r="DV9" s="5"/>
      <c r="DW9" s="29">
        <f t="shared" si="3"/>
        <v>-5763220.9399999985</v>
      </c>
      <c r="DX9" s="5"/>
      <c r="DY9" s="29">
        <f t="shared" ref="DY9:DY14" si="4">Y9</f>
        <v>-3878495.8600000003</v>
      </c>
      <c r="DZ9" s="5"/>
      <c r="EA9" s="29">
        <f t="shared" ref="EA9:EE14" si="5">AA9-AC9</f>
        <v>-2774866.8999999985</v>
      </c>
      <c r="EB9" s="5"/>
      <c r="EC9" s="29">
        <f t="shared" si="5"/>
        <v>-2968818.0700000012</v>
      </c>
      <c r="ED9" s="5"/>
      <c r="EE9" s="29">
        <f t="shared" si="5"/>
        <v>-2674019.6699999995</v>
      </c>
      <c r="EF9" s="5"/>
      <c r="EG9" s="29">
        <f t="shared" ref="EG9:EG14" si="6">AG9</f>
        <v>-3474167.65</v>
      </c>
      <c r="EH9" s="5"/>
      <c r="EI9" s="29">
        <f t="shared" ref="EI9:EK14" si="7">AI9-AK9</f>
        <v>-2889676.5799999991</v>
      </c>
      <c r="EJ9" s="5"/>
      <c r="EK9" s="29">
        <f t="shared" si="7"/>
        <v>-2359917.62</v>
      </c>
      <c r="EL9" s="5"/>
      <c r="EM9" s="29">
        <f t="shared" ref="EM9:EM14" si="8">AM9-AO9</f>
        <v>-2509708.6700000009</v>
      </c>
      <c r="EN9" s="5"/>
      <c r="EO9" s="29">
        <f t="shared" ref="EO9:EO14" si="9">AO9</f>
        <v>-3311497.13</v>
      </c>
      <c r="EP9" s="5"/>
      <c r="EQ9" s="29">
        <f t="shared" ref="EQ9:EQ14" si="10">AQ9-AS9</f>
        <v>-2474098.37</v>
      </c>
      <c r="ER9" s="5"/>
      <c r="ES9" s="29">
        <f t="shared" ref="ES9:ES14" si="11">AS9-AU9</f>
        <v>-2597317.4800000004</v>
      </c>
      <c r="ET9" s="5"/>
      <c r="EU9" s="29">
        <f t="shared" ref="EU9:EU14" si="12">AU9-AW9</f>
        <v>-2698245.5199999996</v>
      </c>
      <c r="EV9" s="5"/>
      <c r="EW9" s="29">
        <f t="shared" ref="EW9:EW13" si="13">AW9</f>
        <v>-2997307.95</v>
      </c>
      <c r="EX9" s="5"/>
      <c r="EY9" s="29">
        <f t="shared" ref="EY9:FC13" si="14">AY9-BA9</f>
        <v>-2271875.5999999996</v>
      </c>
      <c r="EZ9" s="5"/>
      <c r="FA9" s="29">
        <f t="shared" si="14"/>
        <v>-2245051.4400000013</v>
      </c>
      <c r="FB9" s="5"/>
      <c r="FC9" s="29">
        <f t="shared" si="14"/>
        <v>-3641864.4299999988</v>
      </c>
      <c r="FD9" s="5"/>
      <c r="FE9" s="29">
        <f t="shared" ref="FE9:FE14" si="15">BE9</f>
        <v>-3412854.7</v>
      </c>
      <c r="FF9" s="5"/>
      <c r="FG9" s="29">
        <v>-2478886.689999992</v>
      </c>
      <c r="FH9" s="5"/>
      <c r="FI9" s="29">
        <f t="shared" ref="FI9:FQ14" si="16">BI9-BK9</f>
        <v>-2273952.7500000037</v>
      </c>
      <c r="FJ9" s="5"/>
      <c r="FK9" s="29">
        <f t="shared" si="16"/>
        <v>-2708314.6199999973</v>
      </c>
      <c r="FL9" s="5"/>
      <c r="FM9" s="29">
        <f t="shared" si="16"/>
        <v>-2859670.7200000025</v>
      </c>
      <c r="FN9" s="5"/>
      <c r="FO9" s="29">
        <f t="shared" si="16"/>
        <v>-2464018.3200000003</v>
      </c>
      <c r="FP9" s="5"/>
      <c r="FQ9" s="29">
        <f t="shared" si="16"/>
        <v>-4650908.84</v>
      </c>
      <c r="FR9" s="5"/>
      <c r="FS9" s="29">
        <f>BS9</f>
        <v>-3088107.1999999997</v>
      </c>
      <c r="FT9" s="5"/>
      <c r="FU9" s="29">
        <f t="shared" ref="FU9:FY14" si="17">BU9-BW9</f>
        <v>-5184194.040000001</v>
      </c>
      <c r="FV9" s="5"/>
      <c r="FW9" s="29">
        <f t="shared" si="17"/>
        <v>-2234844.88</v>
      </c>
      <c r="FX9" s="5"/>
      <c r="FY9" s="29">
        <f t="shared" si="17"/>
        <v>-2642379.0799999991</v>
      </c>
      <c r="FZ9" s="5"/>
      <c r="GA9" s="29">
        <f>CA9</f>
        <v>-2090196.16</v>
      </c>
      <c r="GB9" s="5"/>
      <c r="GC9" s="29">
        <f t="shared" ref="GC9:GG14" si="18">CC9-CE9</f>
        <v>-4164248.3900000006</v>
      </c>
      <c r="GD9" s="5"/>
      <c r="GE9" s="29">
        <f t="shared" si="18"/>
        <v>-2593171.3500000006</v>
      </c>
      <c r="GF9" s="5"/>
      <c r="GG9" s="29">
        <f t="shared" si="18"/>
        <v>-3124154.3799999994</v>
      </c>
      <c r="GH9" s="5"/>
      <c r="GI9" s="29">
        <f>CI9</f>
        <v>-3003961.93</v>
      </c>
      <c r="GJ9" s="5"/>
      <c r="GK9" s="29">
        <f>CK9-CM9</f>
        <v>-3138513.1794006862</v>
      </c>
      <c r="GL9" s="5"/>
      <c r="GM9" s="29">
        <f>CM9-CO9</f>
        <v>-1732035.3335331101</v>
      </c>
      <c r="GN9" s="5"/>
      <c r="GO9" s="29">
        <f>CO9-CQ9</f>
        <v>-5034440.9635331007</v>
      </c>
      <c r="GP9" s="5"/>
      <c r="GQ9" s="29">
        <f>CQ9</f>
        <v>-3079064.2935331026</v>
      </c>
      <c r="GR9" s="5"/>
      <c r="GS9" s="29">
        <f>CS9-CU9</f>
        <v>-5992267.7248788681</v>
      </c>
      <c r="GT9" s="5"/>
      <c r="GU9" s="29">
        <f>CU9-CW9</f>
        <v>-4298460.928373713</v>
      </c>
    </row>
    <row r="10" spans="1:203">
      <c r="A10" s="26" t="s">
        <v>64</v>
      </c>
      <c r="C10" s="29"/>
      <c r="E10" s="29"/>
      <c r="G10" s="29"/>
      <c r="I10" s="29">
        <v>-103728808.66</v>
      </c>
      <c r="K10" s="29">
        <v>-281263756.06</v>
      </c>
      <c r="M10" s="29">
        <v>-216762936.62</v>
      </c>
      <c r="O10" s="29">
        <v>-176225672.18000001</v>
      </c>
      <c r="Q10" s="29">
        <v>-156062866.25</v>
      </c>
      <c r="S10" s="29">
        <v>-164823225.09</v>
      </c>
      <c r="U10" s="29">
        <v>-107030593.31999999</v>
      </c>
      <c r="W10" s="29">
        <v>-79909352.439999998</v>
      </c>
      <c r="Y10" s="29">
        <v>-61815016.210000001</v>
      </c>
      <c r="AA10" s="29">
        <v>-73184023.069999993</v>
      </c>
      <c r="AC10" s="29">
        <v>-45105893.700000003</v>
      </c>
      <c r="AE10" s="29">
        <v>-36069999.509999998</v>
      </c>
      <c r="AG10" s="29">
        <v>-19430468.82</v>
      </c>
      <c r="AI10" s="29">
        <v>-69543826</v>
      </c>
      <c r="AK10" s="29">
        <v>-35268380.359999999</v>
      </c>
      <c r="AM10" s="29">
        <v>-30650047.32</v>
      </c>
      <c r="AO10" s="29">
        <v>-18411702</v>
      </c>
      <c r="AQ10" s="29">
        <v>-66934494.640000001</v>
      </c>
      <c r="AS10" s="29">
        <v>-53544318.159999996</v>
      </c>
      <c r="AU10" s="29">
        <v>-42850139.829999998</v>
      </c>
      <c r="AW10" s="29">
        <v>-21683386.550000001</v>
      </c>
      <c r="AY10" s="29">
        <v>-79364786.640000001</v>
      </c>
      <c r="BA10" s="29">
        <v>-58059739.25</v>
      </c>
      <c r="BC10" s="29">
        <v>-51960571.18</v>
      </c>
      <c r="BE10" s="29">
        <v>-45220675.170000002</v>
      </c>
      <c r="BG10" s="29">
        <v>-46535614.619999997</v>
      </c>
      <c r="BI10" s="29">
        <v>-33244707.219999999</v>
      </c>
      <c r="BK10" s="29">
        <v>-30026014.699999999</v>
      </c>
      <c r="BM10" s="29">
        <v>-29050738.129999999</v>
      </c>
      <c r="BO10" s="29">
        <v>-7188882.5</v>
      </c>
      <c r="BQ10" s="29">
        <v>-3060650.76</v>
      </c>
      <c r="BS10" s="29">
        <v>-1263264.8899999999</v>
      </c>
      <c r="BU10" s="29">
        <v>-23659498.149999999</v>
      </c>
      <c r="BW10" s="29">
        <v>-16626187.010000002</v>
      </c>
      <c r="BY10" s="29">
        <v>-8973583.3699999992</v>
      </c>
      <c r="CA10" s="29">
        <v>-2514726.61</v>
      </c>
      <c r="CC10" s="29">
        <v>-55654893.689999998</v>
      </c>
      <c r="CE10" s="29">
        <v>-38206453.229999997</v>
      </c>
      <c r="CG10" s="29">
        <v>-5754855.4100000001</v>
      </c>
      <c r="CI10" s="29">
        <v>-4054386.92</v>
      </c>
      <c r="CK10" s="29">
        <v>-43516361.880000003</v>
      </c>
      <c r="CM10" s="5">
        <v>-24199923.039999999</v>
      </c>
      <c r="CO10" s="5">
        <v>-11045865.93</v>
      </c>
      <c r="CQ10" s="5">
        <v>-1885245</v>
      </c>
      <c r="CS10" s="5">
        <v>-35969953.93</v>
      </c>
      <c r="CU10" s="5">
        <v>-21001635.879999999</v>
      </c>
      <c r="CW10" s="5">
        <v>-7814510.0099999998</v>
      </c>
      <c r="CY10" s="5">
        <v>-38869673.560000002</v>
      </c>
      <c r="DA10" s="5">
        <v>-28427650.350000001</v>
      </c>
      <c r="DB10" s="75"/>
      <c r="DC10" s="29"/>
      <c r="DD10" s="5"/>
      <c r="DE10" s="29"/>
      <c r="DF10" s="5"/>
      <c r="DG10" s="29"/>
      <c r="DH10" s="5"/>
      <c r="DI10" s="29">
        <f t="shared" si="0"/>
        <v>-103728808.66</v>
      </c>
      <c r="DJ10" s="5"/>
      <c r="DK10" s="29">
        <f t="shared" si="1"/>
        <v>-64500819.439999998</v>
      </c>
      <c r="DL10" s="5"/>
      <c r="DM10" s="29">
        <f t="shared" si="1"/>
        <v>-40537264.439999998</v>
      </c>
      <c r="DN10" s="5"/>
      <c r="DO10" s="29">
        <f t="shared" si="1"/>
        <v>-20162805.930000007</v>
      </c>
      <c r="DP10" s="5"/>
      <c r="DQ10" s="29">
        <f t="shared" si="2"/>
        <v>-156062866.25</v>
      </c>
      <c r="DR10" s="5"/>
      <c r="DS10" s="29">
        <f t="shared" si="3"/>
        <v>-57792631.770000011</v>
      </c>
      <c r="DT10" s="5"/>
      <c r="DU10" s="29">
        <f t="shared" si="3"/>
        <v>-27121240.879999995</v>
      </c>
      <c r="DV10" s="5"/>
      <c r="DW10" s="29">
        <f t="shared" si="3"/>
        <v>-18094336.229999997</v>
      </c>
      <c r="DX10" s="5"/>
      <c r="DY10" s="29">
        <f t="shared" si="4"/>
        <v>-61815016.210000001</v>
      </c>
      <c r="DZ10" s="5"/>
      <c r="EA10" s="29">
        <f t="shared" si="5"/>
        <v>-28078129.36999999</v>
      </c>
      <c r="EB10" s="5"/>
      <c r="EC10" s="29">
        <f t="shared" si="5"/>
        <v>-9035894.1900000051</v>
      </c>
      <c r="ED10" s="5"/>
      <c r="EE10" s="29">
        <f t="shared" si="5"/>
        <v>-16639530.689999998</v>
      </c>
      <c r="EF10" s="5"/>
      <c r="EG10" s="29">
        <f t="shared" si="6"/>
        <v>-19430468.82</v>
      </c>
      <c r="EH10" s="5"/>
      <c r="EI10" s="29">
        <f t="shared" si="7"/>
        <v>-34275445.640000001</v>
      </c>
      <c r="EJ10" s="5"/>
      <c r="EK10" s="29">
        <f t="shared" si="7"/>
        <v>-4618333.0399999991</v>
      </c>
      <c r="EL10" s="5"/>
      <c r="EM10" s="29">
        <f t="shared" si="8"/>
        <v>-12238345.32</v>
      </c>
      <c r="EN10" s="5"/>
      <c r="EO10" s="29">
        <f t="shared" si="9"/>
        <v>-18411702</v>
      </c>
      <c r="EP10" s="5"/>
      <c r="EQ10" s="29">
        <f t="shared" si="10"/>
        <v>-13390176.480000004</v>
      </c>
      <c r="ER10" s="5"/>
      <c r="ES10" s="29">
        <f t="shared" si="11"/>
        <v>-10694178.329999998</v>
      </c>
      <c r="ET10" s="5"/>
      <c r="EU10" s="29">
        <f t="shared" si="12"/>
        <v>-21166753.279999997</v>
      </c>
      <c r="EV10" s="5"/>
      <c r="EW10" s="29">
        <f t="shared" si="13"/>
        <v>-21683386.550000001</v>
      </c>
      <c r="EX10" s="5"/>
      <c r="EY10" s="29">
        <f t="shared" si="14"/>
        <v>-21305047.390000001</v>
      </c>
      <c r="EZ10" s="5"/>
      <c r="FA10" s="29">
        <f t="shared" si="14"/>
        <v>-6099168.0700000003</v>
      </c>
      <c r="FB10" s="5"/>
      <c r="FC10" s="29">
        <f t="shared" si="14"/>
        <v>-6739896.0099999979</v>
      </c>
      <c r="FD10" s="5"/>
      <c r="FE10" s="29">
        <f t="shared" si="15"/>
        <v>-45220675.170000002</v>
      </c>
      <c r="FF10" s="5"/>
      <c r="FG10" s="29">
        <v>-13290907.400000004</v>
      </c>
      <c r="FH10" s="5"/>
      <c r="FI10" s="29">
        <f t="shared" si="16"/>
        <v>-3218692.5199999996</v>
      </c>
      <c r="FJ10" s="5"/>
      <c r="FK10" s="29">
        <f t="shared" si="16"/>
        <v>-975276.5700000003</v>
      </c>
      <c r="FL10" s="5"/>
      <c r="FM10" s="29">
        <f t="shared" si="16"/>
        <v>-21861855.629999999</v>
      </c>
      <c r="FN10" s="5"/>
      <c r="FO10" s="29">
        <f t="shared" si="16"/>
        <v>-4128231.74</v>
      </c>
      <c r="FP10" s="5"/>
      <c r="FQ10" s="29">
        <f t="shared" si="16"/>
        <v>-1797385.8699999999</v>
      </c>
      <c r="FR10" s="5"/>
      <c r="FS10" s="29">
        <f>BS10</f>
        <v>-1263264.8899999999</v>
      </c>
      <c r="FT10" s="5"/>
      <c r="FU10" s="29">
        <f t="shared" si="17"/>
        <v>-7033311.1399999969</v>
      </c>
      <c r="FV10" s="5"/>
      <c r="FW10" s="29">
        <f t="shared" si="17"/>
        <v>-7652603.6400000025</v>
      </c>
      <c r="FX10" s="5"/>
      <c r="FY10" s="29">
        <f t="shared" si="17"/>
        <v>-6458856.7599999998</v>
      </c>
      <c r="FZ10" s="5"/>
      <c r="GA10" s="29">
        <f>CA10</f>
        <v>-2514726.61</v>
      </c>
      <c r="GB10" s="5"/>
      <c r="GC10" s="29">
        <f t="shared" si="18"/>
        <v>-17448440.460000001</v>
      </c>
      <c r="GD10" s="5"/>
      <c r="GE10" s="29">
        <f t="shared" si="18"/>
        <v>-32451597.819999997</v>
      </c>
      <c r="GF10" s="5"/>
      <c r="GG10" s="29">
        <f t="shared" si="18"/>
        <v>-1700468.4900000002</v>
      </c>
      <c r="GH10" s="5"/>
      <c r="GI10" s="29">
        <f>CI10</f>
        <v>-4054386.92</v>
      </c>
      <c r="GJ10" s="5"/>
      <c r="GK10" s="29">
        <f>CK10-CM10</f>
        <v>-19316438.840000004</v>
      </c>
      <c r="GL10" s="5"/>
      <c r="GM10" s="29">
        <f>CM10-CO10</f>
        <v>-13154057.109999999</v>
      </c>
      <c r="GN10" s="5"/>
      <c r="GO10" s="29">
        <f>CO10-CQ10</f>
        <v>-9160620.9299999997</v>
      </c>
      <c r="GP10" s="5"/>
      <c r="GQ10" s="29">
        <f>CQ10</f>
        <v>-1885245</v>
      </c>
      <c r="GR10" s="5"/>
      <c r="GS10" s="29">
        <f>CS10-CU10</f>
        <v>-14968318.050000001</v>
      </c>
      <c r="GT10" s="5"/>
      <c r="GU10" s="29">
        <f>CU10-CW10</f>
        <v>-13187125.869999999</v>
      </c>
    </row>
    <row r="11" spans="1:203">
      <c r="A11" s="26" t="s">
        <v>87</v>
      </c>
      <c r="C11" s="29"/>
      <c r="E11" s="29"/>
      <c r="G11" s="29"/>
      <c r="I11" s="29">
        <v>-5766990.2600000007</v>
      </c>
      <c r="K11" s="29">
        <v>-18887119.510000002</v>
      </c>
      <c r="M11" s="29">
        <v>-12881243.869999999</v>
      </c>
      <c r="O11" s="29">
        <v>-8450483.5399999991</v>
      </c>
      <c r="Q11" s="29">
        <v>-4682518.9399999995</v>
      </c>
      <c r="S11" s="29">
        <v>-11613856.689999999</v>
      </c>
      <c r="U11" s="29">
        <v>-8124783.4000000004</v>
      </c>
      <c r="W11" s="29">
        <v>-4932353.82</v>
      </c>
      <c r="Y11" s="29">
        <v>-2232086.1399999997</v>
      </c>
      <c r="AA11" s="29">
        <v>-7739868.1300000008</v>
      </c>
      <c r="AC11" s="29">
        <v>-5419580.4100000001</v>
      </c>
      <c r="AE11" s="29">
        <v>-3590844.5</v>
      </c>
      <c r="AG11" s="29">
        <v>-1860071.24</v>
      </c>
      <c r="AI11" s="29">
        <v>-5098920.45</v>
      </c>
      <c r="AK11" s="29">
        <v>-3432821.79</v>
      </c>
      <c r="AM11" s="29">
        <v>-2255064.5300000003</v>
      </c>
      <c r="AO11" s="29">
        <v>-1098316.8999999999</v>
      </c>
      <c r="AQ11" s="29">
        <v>-4568142.58</v>
      </c>
      <c r="AS11" s="29">
        <v>-3473510.81</v>
      </c>
      <c r="AU11" s="29">
        <v>-2517349.7400000002</v>
      </c>
      <c r="AW11" s="29">
        <v>-1156205.8999999999</v>
      </c>
      <c r="AY11" s="29">
        <v>-4304908.05</v>
      </c>
      <c r="BA11" s="29">
        <v>-2977331.5300000003</v>
      </c>
      <c r="BC11" s="29">
        <v>-1958691.56</v>
      </c>
      <c r="BE11" s="29">
        <v>-873079.14000000013</v>
      </c>
      <c r="BG11" s="29">
        <v>-4428009.2</v>
      </c>
      <c r="BI11" s="29">
        <v>-3547590.49</v>
      </c>
      <c r="BK11" s="29">
        <v>-2842281.4000000004</v>
      </c>
      <c r="BM11" s="29">
        <v>-2169366.17</v>
      </c>
      <c r="BO11" s="29">
        <v>-1508882.45</v>
      </c>
      <c r="BQ11" s="29">
        <v>-1030819.7599999999</v>
      </c>
      <c r="BS11" s="29">
        <v>-470662.37</v>
      </c>
      <c r="BU11" s="29">
        <v>-2483867.77</v>
      </c>
      <c r="BW11" s="29">
        <v>-1962037.79</v>
      </c>
      <c r="BY11" s="29">
        <v>-1241802.8400000001</v>
      </c>
      <c r="CA11" s="29">
        <v>-608373.22</v>
      </c>
      <c r="CC11" s="29">
        <v>-3337222</v>
      </c>
      <c r="CE11" s="29">
        <v>-2538695.58</v>
      </c>
      <c r="CG11" s="29">
        <v>-1937924.8</v>
      </c>
      <c r="CI11" s="29">
        <v>-610147.52</v>
      </c>
      <c r="CK11" s="29">
        <v>-2981767.59</v>
      </c>
      <c r="CM11" s="5">
        <v>-2138895.31</v>
      </c>
      <c r="CO11" s="5">
        <v>-350483.36</v>
      </c>
      <c r="CQ11" s="5">
        <v>-596555.54999999993</v>
      </c>
      <c r="CS11" s="5">
        <v>-2382260.6634953897</v>
      </c>
      <c r="CU11" s="5">
        <v>-1721223.6099999999</v>
      </c>
      <c r="CW11" s="5">
        <v>-1063958.25</v>
      </c>
      <c r="CY11" s="5">
        <v>-9250450.7774987034</v>
      </c>
      <c r="DA11" s="5">
        <v>-7464418.5695275133</v>
      </c>
      <c r="DB11" s="75"/>
      <c r="DC11" s="29"/>
      <c r="DD11" s="5"/>
      <c r="DE11" s="29"/>
      <c r="DF11" s="5"/>
      <c r="DG11" s="29"/>
      <c r="DH11" s="5"/>
      <c r="DI11" s="29">
        <f t="shared" si="0"/>
        <v>-5766990.2600000007</v>
      </c>
      <c r="DJ11" s="5"/>
      <c r="DK11" s="29">
        <f t="shared" si="1"/>
        <v>-6005875.6400000025</v>
      </c>
      <c r="DL11" s="5"/>
      <c r="DM11" s="29">
        <f t="shared" si="1"/>
        <v>-4430760.33</v>
      </c>
      <c r="DN11" s="5"/>
      <c r="DO11" s="29">
        <f t="shared" si="1"/>
        <v>-3767964.5999999996</v>
      </c>
      <c r="DP11" s="5"/>
      <c r="DQ11" s="29">
        <f t="shared" si="2"/>
        <v>-4682518.9399999995</v>
      </c>
      <c r="DR11" s="5"/>
      <c r="DS11" s="29">
        <f t="shared" si="3"/>
        <v>-3489073.2899999991</v>
      </c>
      <c r="DT11" s="5"/>
      <c r="DU11" s="29">
        <f t="shared" si="3"/>
        <v>-3192429.58</v>
      </c>
      <c r="DV11" s="5"/>
      <c r="DW11" s="29">
        <f t="shared" si="3"/>
        <v>-2700267.6800000006</v>
      </c>
      <c r="DX11" s="5"/>
      <c r="DY11" s="29">
        <f t="shared" si="4"/>
        <v>-2232086.1399999997</v>
      </c>
      <c r="DZ11" s="5"/>
      <c r="EA11" s="29">
        <f t="shared" si="5"/>
        <v>-2320287.7200000007</v>
      </c>
      <c r="EB11" s="5"/>
      <c r="EC11" s="29">
        <f t="shared" si="5"/>
        <v>-1828735.9100000001</v>
      </c>
      <c r="ED11" s="5"/>
      <c r="EE11" s="29">
        <f t="shared" si="5"/>
        <v>-1730773.26</v>
      </c>
      <c r="EF11" s="5"/>
      <c r="EG11" s="29">
        <f t="shared" si="6"/>
        <v>-1860071.24</v>
      </c>
      <c r="EH11" s="5"/>
      <c r="EI11" s="29">
        <f t="shared" si="7"/>
        <v>-1666098.6600000001</v>
      </c>
      <c r="EJ11" s="5"/>
      <c r="EK11" s="29">
        <f t="shared" si="7"/>
        <v>-1177757.2599999998</v>
      </c>
      <c r="EL11" s="5"/>
      <c r="EM11" s="29">
        <f t="shared" si="8"/>
        <v>-1156747.6300000004</v>
      </c>
      <c r="EN11" s="5"/>
      <c r="EO11" s="29">
        <f t="shared" si="9"/>
        <v>-1098316.8999999999</v>
      </c>
      <c r="EP11" s="5"/>
      <c r="EQ11" s="29">
        <f t="shared" si="10"/>
        <v>-1094631.77</v>
      </c>
      <c r="ER11" s="5"/>
      <c r="ES11" s="29">
        <f t="shared" si="11"/>
        <v>-956161.06999999983</v>
      </c>
      <c r="ET11" s="5"/>
      <c r="EU11" s="29">
        <f t="shared" si="12"/>
        <v>-1361143.8400000003</v>
      </c>
      <c r="EV11" s="5"/>
      <c r="EW11" s="29">
        <f t="shared" si="13"/>
        <v>-1156205.8999999999</v>
      </c>
      <c r="EX11" s="5"/>
      <c r="EY11" s="29">
        <f t="shared" si="14"/>
        <v>-1327576.5199999996</v>
      </c>
      <c r="EZ11" s="5"/>
      <c r="FA11" s="29">
        <f t="shared" si="14"/>
        <v>-1018639.9700000002</v>
      </c>
      <c r="FB11" s="5"/>
      <c r="FC11" s="29">
        <f t="shared" si="14"/>
        <v>-1085612.42</v>
      </c>
      <c r="FD11" s="5"/>
      <c r="FE11" s="29">
        <f t="shared" si="15"/>
        <v>-873079.14000000013</v>
      </c>
      <c r="FF11" s="5"/>
      <c r="FG11" s="29">
        <v>-880418.71000000043</v>
      </c>
      <c r="FH11" s="5"/>
      <c r="FI11" s="29">
        <f t="shared" si="16"/>
        <v>-705309.08999999985</v>
      </c>
      <c r="FJ11" s="5"/>
      <c r="FK11" s="29">
        <f t="shared" si="16"/>
        <v>-672915.23000000045</v>
      </c>
      <c r="FL11" s="5"/>
      <c r="FM11" s="29">
        <f t="shared" si="16"/>
        <v>-660483.72</v>
      </c>
      <c r="FN11" s="5"/>
      <c r="FO11" s="29">
        <f t="shared" si="16"/>
        <v>-478062.69000000006</v>
      </c>
      <c r="FP11" s="5"/>
      <c r="FQ11" s="29">
        <f t="shared" si="16"/>
        <v>-560157.3899999999</v>
      </c>
      <c r="FR11" s="5"/>
      <c r="FS11" s="29">
        <f>BS11</f>
        <v>-470662.37</v>
      </c>
      <c r="FT11" s="5"/>
      <c r="FU11" s="29">
        <f t="shared" si="17"/>
        <v>-521829.98</v>
      </c>
      <c r="FV11" s="5"/>
      <c r="FW11" s="29">
        <f t="shared" si="17"/>
        <v>-720234.95</v>
      </c>
      <c r="FX11" s="5"/>
      <c r="FY11" s="29">
        <f t="shared" si="17"/>
        <v>-633429.62000000011</v>
      </c>
      <c r="FZ11" s="5"/>
      <c r="GA11" s="29">
        <f>CA11</f>
        <v>-608373.22</v>
      </c>
      <c r="GB11" s="5"/>
      <c r="GC11" s="29">
        <f t="shared" si="18"/>
        <v>-798526.41999999993</v>
      </c>
      <c r="GD11" s="5"/>
      <c r="GE11" s="29">
        <f t="shared" si="18"/>
        <v>-600770.78</v>
      </c>
      <c r="GF11" s="5"/>
      <c r="GG11" s="29">
        <f t="shared" si="18"/>
        <v>-1327777.28</v>
      </c>
      <c r="GH11" s="5"/>
      <c r="GI11" s="29">
        <f>CI11</f>
        <v>-610147.52</v>
      </c>
      <c r="GJ11" s="5"/>
      <c r="GK11" s="29">
        <f>CK11-CM11</f>
        <v>-842872.2799999998</v>
      </c>
      <c r="GL11" s="5"/>
      <c r="GM11" s="29">
        <f>CM11-CO11</f>
        <v>-1788411.9500000002</v>
      </c>
      <c r="GN11" s="5"/>
      <c r="GO11" s="29">
        <f>CO11-CQ11</f>
        <v>246072.18999999994</v>
      </c>
      <c r="GP11" s="5"/>
      <c r="GQ11" s="29">
        <f>CQ11</f>
        <v>-596555.54999999993</v>
      </c>
      <c r="GR11" s="5"/>
      <c r="GS11" s="29">
        <f>CS11-CU11</f>
        <v>-661037.05349538988</v>
      </c>
      <c r="GT11" s="5"/>
      <c r="GU11" s="29">
        <f>CU11-CW11</f>
        <v>-657265.35999999987</v>
      </c>
    </row>
    <row r="12" spans="1:203">
      <c r="A12" s="26" t="s">
        <v>88</v>
      </c>
      <c r="C12" s="29"/>
      <c r="E12" s="29"/>
      <c r="G12" s="29"/>
      <c r="I12" s="29">
        <v>-2737333.25</v>
      </c>
      <c r="K12" s="29">
        <v>-10988152.710000001</v>
      </c>
      <c r="M12" s="29">
        <v>-7403646.5700000003</v>
      </c>
      <c r="O12" s="29">
        <v>-4962969.1099999994</v>
      </c>
      <c r="Q12" s="29">
        <v>-3515766.26</v>
      </c>
      <c r="S12" s="29">
        <v>-10364552.310000001</v>
      </c>
      <c r="U12" s="29">
        <v>-6188531.5600000005</v>
      </c>
      <c r="W12" s="29">
        <v>-3668817.85</v>
      </c>
      <c r="Y12" s="29">
        <v>-1737084.13</v>
      </c>
      <c r="AA12" s="29">
        <v>-6962632.7999999998</v>
      </c>
      <c r="AC12" s="29">
        <v>-5200866.6099999994</v>
      </c>
      <c r="AE12" s="29">
        <v>-3466524.04</v>
      </c>
      <c r="AG12" s="29">
        <v>-1822670.6800000002</v>
      </c>
      <c r="AI12" s="29">
        <v>-5979082.4099999992</v>
      </c>
      <c r="AK12" s="29">
        <v>-4466180.08</v>
      </c>
      <c r="AM12" s="29">
        <v>-3057215.6500000004</v>
      </c>
      <c r="AO12" s="29">
        <v>-1507847.69</v>
      </c>
      <c r="AQ12" s="29">
        <v>-5844094.21</v>
      </c>
      <c r="AS12" s="29">
        <v>-4328958.2700000005</v>
      </c>
      <c r="AU12" s="29">
        <v>-3062624.73</v>
      </c>
      <c r="AW12" s="29">
        <v>-1600049.16</v>
      </c>
      <c r="AY12" s="29">
        <v>-6222142.9900000002</v>
      </c>
      <c r="BA12" s="29">
        <v>-3872402.4299999997</v>
      </c>
      <c r="BC12" s="29">
        <v>-2625144.12</v>
      </c>
      <c r="BE12" s="29">
        <v>-1245960.7700000003</v>
      </c>
      <c r="BG12" s="29">
        <v>-8291326.9500000011</v>
      </c>
      <c r="BI12" s="29">
        <v>-9265680.1899999995</v>
      </c>
      <c r="BK12" s="29">
        <v>-7804132.4399999995</v>
      </c>
      <c r="BM12" s="29">
        <v>-6286994.75</v>
      </c>
      <c r="BO12" s="29">
        <v>-4585567.72</v>
      </c>
      <c r="BQ12" s="29">
        <v>-3210141.6599999997</v>
      </c>
      <c r="BS12" s="29">
        <v>-1569892.36</v>
      </c>
      <c r="BU12" s="29">
        <v>-6485198.5199999996</v>
      </c>
      <c r="BW12" s="29">
        <v>-5037448.2499999991</v>
      </c>
      <c r="BY12" s="29">
        <v>-3249996.3099999996</v>
      </c>
      <c r="CA12" s="29">
        <v>-1399777.55</v>
      </c>
      <c r="CC12" s="29">
        <v>-5622050.29</v>
      </c>
      <c r="CE12" s="29">
        <v>-4248640.21</v>
      </c>
      <c r="CG12" s="29">
        <v>-2775971.25</v>
      </c>
      <c r="CI12" s="29">
        <v>-1370262.39</v>
      </c>
      <c r="CK12" s="29">
        <v>-5090762.6599999992</v>
      </c>
      <c r="CM12" s="5">
        <v>-3165617.0999999996</v>
      </c>
      <c r="CO12" s="5">
        <v>-2312286.33</v>
      </c>
      <c r="CQ12" s="5">
        <v>-1032343.08</v>
      </c>
      <c r="CS12" s="5">
        <v>-5250897.9659860833</v>
      </c>
      <c r="CU12" s="5">
        <v>-3241484.6569409925</v>
      </c>
      <c r="CW12" s="5">
        <v>-2304597.5179606611</v>
      </c>
      <c r="CY12" s="5">
        <v>-3741011.0583361909</v>
      </c>
      <c r="DA12" s="5">
        <v>-3476899.7941680956</v>
      </c>
      <c r="DB12" s="75"/>
      <c r="DC12" s="29"/>
      <c r="DD12" s="5"/>
      <c r="DE12" s="29"/>
      <c r="DF12" s="5"/>
      <c r="DG12" s="29"/>
      <c r="DH12" s="5"/>
      <c r="DI12" s="29">
        <f t="shared" si="0"/>
        <v>-2737333.25</v>
      </c>
      <c r="DJ12" s="5"/>
      <c r="DK12" s="29">
        <f t="shared" si="1"/>
        <v>-3584506.1400000006</v>
      </c>
      <c r="DL12" s="5"/>
      <c r="DM12" s="29">
        <f t="shared" si="1"/>
        <v>-2440677.4600000009</v>
      </c>
      <c r="DN12" s="5"/>
      <c r="DO12" s="29">
        <f t="shared" si="1"/>
        <v>-1447202.8499999996</v>
      </c>
      <c r="DP12" s="5"/>
      <c r="DQ12" s="29">
        <f t="shared" si="2"/>
        <v>-3515766.26</v>
      </c>
      <c r="DR12" s="5"/>
      <c r="DS12" s="29">
        <f t="shared" si="3"/>
        <v>-4176020.75</v>
      </c>
      <c r="DT12" s="5"/>
      <c r="DU12" s="29">
        <f t="shared" si="3"/>
        <v>-2519713.7100000004</v>
      </c>
      <c r="DV12" s="5"/>
      <c r="DW12" s="29">
        <f t="shared" si="3"/>
        <v>-1931733.7200000002</v>
      </c>
      <c r="DX12" s="5"/>
      <c r="DY12" s="29">
        <f t="shared" si="4"/>
        <v>-1737084.13</v>
      </c>
      <c r="DZ12" s="5"/>
      <c r="EA12" s="29">
        <f t="shared" si="5"/>
        <v>-1761766.1900000004</v>
      </c>
      <c r="EB12" s="5"/>
      <c r="EC12" s="29">
        <f t="shared" si="5"/>
        <v>-1734342.5699999994</v>
      </c>
      <c r="ED12" s="5"/>
      <c r="EE12" s="29">
        <f t="shared" si="5"/>
        <v>-1643853.3599999999</v>
      </c>
      <c r="EF12" s="5"/>
      <c r="EG12" s="29">
        <f t="shared" si="6"/>
        <v>-1822670.6800000002</v>
      </c>
      <c r="EH12" s="5"/>
      <c r="EI12" s="29">
        <f t="shared" si="7"/>
        <v>-1512902.3299999991</v>
      </c>
      <c r="EJ12" s="5"/>
      <c r="EK12" s="29">
        <f t="shared" si="7"/>
        <v>-1408964.4299999997</v>
      </c>
      <c r="EL12" s="5"/>
      <c r="EM12" s="29">
        <f t="shared" si="8"/>
        <v>-1549367.9600000004</v>
      </c>
      <c r="EN12" s="5"/>
      <c r="EO12" s="29">
        <f t="shared" si="9"/>
        <v>-1507847.69</v>
      </c>
      <c r="EP12" s="5"/>
      <c r="EQ12" s="29">
        <f t="shared" si="10"/>
        <v>-1515135.9399999995</v>
      </c>
      <c r="ER12" s="5"/>
      <c r="ES12" s="29">
        <f t="shared" si="11"/>
        <v>-1266333.5400000005</v>
      </c>
      <c r="ET12" s="5"/>
      <c r="EU12" s="29">
        <f t="shared" si="12"/>
        <v>-1462575.57</v>
      </c>
      <c r="EV12" s="5"/>
      <c r="EW12" s="29">
        <f t="shared" si="13"/>
        <v>-1600049.16</v>
      </c>
      <c r="EX12" s="5"/>
      <c r="EY12" s="29">
        <f t="shared" si="14"/>
        <v>-2349740.5600000005</v>
      </c>
      <c r="EZ12" s="5"/>
      <c r="FA12" s="29">
        <f t="shared" si="14"/>
        <v>-1247258.3099999996</v>
      </c>
      <c r="FB12" s="5"/>
      <c r="FC12" s="29">
        <f t="shared" si="14"/>
        <v>-1379183.3499999999</v>
      </c>
      <c r="FD12" s="5"/>
      <c r="FE12" s="29">
        <f t="shared" si="15"/>
        <v>-1245960.7700000003</v>
      </c>
      <c r="FF12" s="5"/>
      <c r="FG12" s="29">
        <v>-1380360.6100000017</v>
      </c>
      <c r="FH12" s="5"/>
      <c r="FI12" s="29">
        <f t="shared" si="16"/>
        <v>-1461547.75</v>
      </c>
      <c r="FJ12" s="5"/>
      <c r="FK12" s="29">
        <f t="shared" si="16"/>
        <v>-1517137.6899999995</v>
      </c>
      <c r="FL12" s="5"/>
      <c r="FM12" s="29">
        <f t="shared" si="16"/>
        <v>-1701427.0300000003</v>
      </c>
      <c r="FN12" s="5"/>
      <c r="FO12" s="29">
        <f t="shared" si="16"/>
        <v>-1375426.06</v>
      </c>
      <c r="FP12" s="5"/>
      <c r="FQ12" s="29">
        <f t="shared" si="16"/>
        <v>-1640249.2999999996</v>
      </c>
      <c r="FR12" s="5"/>
      <c r="FS12" s="29">
        <f>BS12</f>
        <v>-1569892.36</v>
      </c>
      <c r="FT12" s="5"/>
      <c r="FU12" s="29">
        <f t="shared" si="17"/>
        <v>-1447750.2700000005</v>
      </c>
      <c r="FV12" s="5"/>
      <c r="FW12" s="29">
        <f t="shared" si="17"/>
        <v>-1787451.9399999995</v>
      </c>
      <c r="FX12" s="5"/>
      <c r="FY12" s="29">
        <f t="shared" si="17"/>
        <v>-1850218.7599999995</v>
      </c>
      <c r="FZ12" s="5"/>
      <c r="GA12" s="29">
        <f>CA12</f>
        <v>-1399777.55</v>
      </c>
      <c r="GB12" s="5"/>
      <c r="GC12" s="29">
        <f t="shared" si="18"/>
        <v>-1373410.08</v>
      </c>
      <c r="GD12" s="5"/>
      <c r="GE12" s="29">
        <f t="shared" si="18"/>
        <v>-1472668.96</v>
      </c>
      <c r="GF12" s="5"/>
      <c r="GG12" s="29">
        <f t="shared" si="18"/>
        <v>-1405708.86</v>
      </c>
      <c r="GH12" s="5"/>
      <c r="GI12" s="29">
        <f>CI12</f>
        <v>-1370262.39</v>
      </c>
      <c r="GJ12" s="5"/>
      <c r="GK12" s="29">
        <f>CK12-CM12</f>
        <v>-1925145.5599999996</v>
      </c>
      <c r="GL12" s="5"/>
      <c r="GM12" s="29">
        <f>CM12-CO12</f>
        <v>-853330.76999999955</v>
      </c>
      <c r="GN12" s="5"/>
      <c r="GO12" s="29">
        <f>CO12-CQ12</f>
        <v>-1279943.25</v>
      </c>
      <c r="GP12" s="5"/>
      <c r="GQ12" s="29">
        <f>CQ12</f>
        <v>-1032343.08</v>
      </c>
      <c r="GR12" s="5"/>
      <c r="GS12" s="29">
        <f>CS12-CU12</f>
        <v>-2009413.3090450908</v>
      </c>
      <c r="GT12" s="5"/>
      <c r="GU12" s="29">
        <f>CU12-CW12</f>
        <v>-936887.13898033137</v>
      </c>
    </row>
    <row r="13" spans="1:203">
      <c r="A13" s="26" t="s">
        <v>264</v>
      </c>
      <c r="C13" s="29"/>
      <c r="E13" s="29"/>
      <c r="G13" s="29"/>
      <c r="I13" s="29">
        <v>-4913144.5500000007</v>
      </c>
      <c r="K13" s="29">
        <v>-23285829.66</v>
      </c>
      <c r="M13" s="29">
        <v>-17379400.859999999</v>
      </c>
      <c r="O13" s="29">
        <v>-9309733.2799999993</v>
      </c>
      <c r="Q13" s="29">
        <v>-4108606.5500000003</v>
      </c>
      <c r="S13" s="29">
        <v>-16507883.68</v>
      </c>
      <c r="U13" s="29">
        <v>-11194005.91</v>
      </c>
      <c r="W13" s="29">
        <v>-6226171.3600000003</v>
      </c>
      <c r="Y13" s="29">
        <v>-2250155.8400000003</v>
      </c>
      <c r="AA13" s="29">
        <v>-10286757.859999999</v>
      </c>
      <c r="AC13" s="29">
        <v>-5986578.4500000002</v>
      </c>
      <c r="AE13" s="29">
        <v>-3820453.9999999995</v>
      </c>
      <c r="AG13" s="29">
        <v>-1836818.2000000002</v>
      </c>
      <c r="AI13" s="29">
        <v>-6243825.6000000006</v>
      </c>
      <c r="AK13" s="29">
        <v>-4934371.26</v>
      </c>
      <c r="AM13" s="29">
        <v>-2570461.3199999998</v>
      </c>
      <c r="AO13" s="29">
        <v>-1185805.8400000001</v>
      </c>
      <c r="AQ13" s="29">
        <v>-5321546.6399999997</v>
      </c>
      <c r="AS13" s="29">
        <v>-4204283.4800000004</v>
      </c>
      <c r="AU13" s="29">
        <v>-2764920.2800000003</v>
      </c>
      <c r="AW13" s="29">
        <v>-1415913.57</v>
      </c>
      <c r="AY13" s="29">
        <v>-7162455.6499999994</v>
      </c>
      <c r="BA13" s="29">
        <v>-5754251.1600000001</v>
      </c>
      <c r="BC13" s="29">
        <v>-4529765.25</v>
      </c>
      <c r="BE13" s="29">
        <v>-1543178.23</v>
      </c>
      <c r="BG13" s="29">
        <v>-13682528.560000001</v>
      </c>
      <c r="BI13" s="29"/>
      <c r="BK13" s="29"/>
      <c r="BM13" s="29"/>
      <c r="BO13" s="29"/>
      <c r="BQ13" s="29"/>
      <c r="BS13" s="29"/>
      <c r="BU13" s="29"/>
      <c r="BW13" s="29"/>
      <c r="BY13" s="29"/>
      <c r="CA13" s="29"/>
      <c r="CC13" s="29"/>
      <c r="CE13" s="29"/>
      <c r="CG13" s="29"/>
      <c r="CI13" s="29"/>
      <c r="CK13" s="29"/>
      <c r="CM13" s="5"/>
      <c r="CO13" s="5"/>
      <c r="CQ13" s="5"/>
      <c r="CS13" s="5"/>
      <c r="CU13" s="5"/>
      <c r="CW13" s="5"/>
      <c r="CY13" s="5"/>
      <c r="DA13" s="5"/>
      <c r="DB13" s="75"/>
      <c r="DC13" s="29"/>
      <c r="DD13" s="5"/>
      <c r="DE13" s="29"/>
      <c r="DF13" s="5"/>
      <c r="DG13" s="29"/>
      <c r="DH13" s="5"/>
      <c r="DI13" s="29">
        <f t="shared" si="0"/>
        <v>-4913144.5500000007</v>
      </c>
      <c r="DJ13" s="5"/>
      <c r="DK13" s="29">
        <f t="shared" si="1"/>
        <v>-5906428.8000000007</v>
      </c>
      <c r="DL13" s="5"/>
      <c r="DM13" s="29">
        <f t="shared" si="1"/>
        <v>-8069667.5800000001</v>
      </c>
      <c r="DN13" s="5"/>
      <c r="DO13" s="29">
        <f t="shared" si="1"/>
        <v>-5201126.7299999986</v>
      </c>
      <c r="DP13" s="5"/>
      <c r="DQ13" s="29">
        <f t="shared" si="2"/>
        <v>-4108606.5500000003</v>
      </c>
      <c r="DR13" s="5"/>
      <c r="DS13" s="29">
        <f t="shared" si="3"/>
        <v>-5313877.7699999996</v>
      </c>
      <c r="DT13" s="5"/>
      <c r="DU13" s="29">
        <f t="shared" si="3"/>
        <v>-4967834.55</v>
      </c>
      <c r="DV13" s="5"/>
      <c r="DW13" s="29">
        <f t="shared" si="3"/>
        <v>-3976015.52</v>
      </c>
      <c r="DX13" s="5"/>
      <c r="DY13" s="29">
        <f t="shared" si="4"/>
        <v>-2250155.8400000003</v>
      </c>
      <c r="DZ13" s="5"/>
      <c r="EA13" s="29">
        <f t="shared" si="5"/>
        <v>-4300179.4099999992</v>
      </c>
      <c r="EB13" s="5"/>
      <c r="EC13" s="29">
        <f t="shared" si="5"/>
        <v>-2166124.4500000007</v>
      </c>
      <c r="ED13" s="5"/>
      <c r="EE13" s="29">
        <f t="shared" si="5"/>
        <v>-1983635.7999999993</v>
      </c>
      <c r="EF13" s="5"/>
      <c r="EG13" s="29">
        <f t="shared" si="6"/>
        <v>-1836818.2000000002</v>
      </c>
      <c r="EH13" s="5"/>
      <c r="EI13" s="29">
        <f t="shared" si="7"/>
        <v>-1309454.3400000008</v>
      </c>
      <c r="EJ13" s="5"/>
      <c r="EK13" s="29">
        <f t="shared" si="7"/>
        <v>-2363909.94</v>
      </c>
      <c r="EL13" s="5"/>
      <c r="EM13" s="29">
        <f t="shared" si="8"/>
        <v>-1384655.4799999997</v>
      </c>
      <c r="EN13" s="5"/>
      <c r="EO13" s="29">
        <f t="shared" si="9"/>
        <v>-1185805.8400000001</v>
      </c>
      <c r="EP13" s="5"/>
      <c r="EQ13" s="29">
        <f t="shared" si="10"/>
        <v>-1117263.1599999992</v>
      </c>
      <c r="ER13" s="5"/>
      <c r="ES13" s="29">
        <f t="shared" si="11"/>
        <v>-1439363.2000000002</v>
      </c>
      <c r="ET13" s="5"/>
      <c r="EU13" s="29">
        <f t="shared" si="12"/>
        <v>-1349006.7100000002</v>
      </c>
      <c r="EV13" s="5"/>
      <c r="EW13" s="29">
        <f t="shared" si="13"/>
        <v>-1415913.57</v>
      </c>
      <c r="EX13" s="5"/>
      <c r="EY13" s="29">
        <f t="shared" si="14"/>
        <v>-1408204.4899999993</v>
      </c>
      <c r="EZ13" s="5"/>
      <c r="FA13" s="29">
        <f t="shared" si="14"/>
        <v>-1224485.9100000001</v>
      </c>
      <c r="FB13" s="5"/>
      <c r="FC13" s="29">
        <f t="shared" si="14"/>
        <v>-2986587.02</v>
      </c>
      <c r="FD13" s="5"/>
      <c r="FE13" s="29">
        <f t="shared" si="15"/>
        <v>-1543178.23</v>
      </c>
      <c r="FF13" s="5"/>
      <c r="FG13" s="29">
        <v>-1521269.6700000002</v>
      </c>
      <c r="FH13" s="5"/>
      <c r="FI13" s="29"/>
      <c r="FJ13" s="5"/>
      <c r="FK13" s="29"/>
      <c r="FL13" s="5"/>
      <c r="FM13" s="29"/>
      <c r="FN13" s="5"/>
      <c r="FO13" s="29"/>
      <c r="FP13" s="5"/>
      <c r="FQ13" s="29"/>
      <c r="FR13" s="5"/>
      <c r="FS13" s="29"/>
      <c r="FT13" s="5"/>
      <c r="FU13" s="29"/>
      <c r="FV13" s="5"/>
      <c r="FW13" s="29"/>
      <c r="FX13" s="5"/>
      <c r="FY13" s="29"/>
      <c r="FZ13" s="5"/>
      <c r="GA13" s="29"/>
      <c r="GB13" s="5"/>
      <c r="GC13" s="29"/>
      <c r="GD13" s="5"/>
      <c r="GE13" s="29"/>
      <c r="GF13" s="5"/>
      <c r="GG13" s="29"/>
      <c r="GH13" s="5"/>
      <c r="GI13" s="29"/>
      <c r="GJ13" s="5"/>
      <c r="GK13" s="29"/>
      <c r="GL13" s="5"/>
      <c r="GM13" s="29"/>
      <c r="GN13" s="5"/>
      <c r="GO13" s="29"/>
      <c r="GP13" s="5"/>
      <c r="GQ13" s="29"/>
      <c r="GR13" s="5"/>
      <c r="GS13" s="29"/>
      <c r="GT13" s="5"/>
      <c r="GU13" s="29"/>
    </row>
    <row r="14" spans="1:203">
      <c r="A14" s="26" t="s">
        <v>63</v>
      </c>
      <c r="C14" s="29"/>
      <c r="E14" s="29"/>
      <c r="G14" s="29"/>
      <c r="I14" s="29">
        <v>95066.51999999996</v>
      </c>
      <c r="K14" s="29">
        <v>-920657.29</v>
      </c>
      <c r="M14" s="29">
        <v>-85506.160000000033</v>
      </c>
      <c r="O14" s="29">
        <v>-174236.73000000004</v>
      </c>
      <c r="Q14" s="29">
        <v>29491.270000000019</v>
      </c>
      <c r="S14" s="29">
        <v>140786.75999999978</v>
      </c>
      <c r="U14" s="29">
        <v>1054991.9699999997</v>
      </c>
      <c r="W14" s="29">
        <v>779651.03</v>
      </c>
      <c r="Y14" s="29">
        <v>300120.17000000004</v>
      </c>
      <c r="AA14" s="29">
        <v>1116404.76</v>
      </c>
      <c r="AC14" s="29">
        <v>1307250.49</v>
      </c>
      <c r="AE14" s="29">
        <v>858055.43000000017</v>
      </c>
      <c r="AG14" s="29">
        <v>467456.4800000001</v>
      </c>
      <c r="AI14" s="29">
        <v>1165750.46</v>
      </c>
      <c r="AK14" s="29">
        <v>1138421.6099999999</v>
      </c>
      <c r="AM14" s="29">
        <v>587648.71</v>
      </c>
      <c r="AO14" s="29">
        <v>338859.54</v>
      </c>
      <c r="AQ14" s="29">
        <v>646112.26000000013</v>
      </c>
      <c r="AS14" s="29">
        <v>625272.36</v>
      </c>
      <c r="AU14" s="29">
        <v>638717.77000000014</v>
      </c>
      <c r="AW14" s="29">
        <v>292830.13999999996</v>
      </c>
      <c r="AY14" s="29">
        <v>3723044.6800000006</v>
      </c>
      <c r="BA14" s="29">
        <v>3717610.04</v>
      </c>
      <c r="BC14" s="29">
        <v>3391541.4400000004</v>
      </c>
      <c r="BE14" s="29">
        <v>1088154.6100000001</v>
      </c>
      <c r="BG14" s="29">
        <v>10536849</v>
      </c>
      <c r="BI14" s="29">
        <v>3046590.31</v>
      </c>
      <c r="BK14" s="29">
        <v>2720814</v>
      </c>
      <c r="BM14" s="29">
        <v>2290202.6100000003</v>
      </c>
      <c r="BO14" s="29">
        <v>1896331.3299999998</v>
      </c>
      <c r="BQ14" s="29">
        <v>1483664.79</v>
      </c>
      <c r="BS14" s="29">
        <v>761758.12</v>
      </c>
      <c r="BU14" s="29">
        <v>2718512.92</v>
      </c>
      <c r="BW14" s="29">
        <v>1560196.43</v>
      </c>
      <c r="BY14" s="29">
        <v>1121938.78</v>
      </c>
      <c r="CA14" s="29">
        <v>393937.65</v>
      </c>
      <c r="CC14" s="29">
        <v>427077.4</v>
      </c>
      <c r="CE14" s="29">
        <v>16857.95</v>
      </c>
      <c r="CG14" s="29">
        <v>-28163.34</v>
      </c>
      <c r="CI14" s="29">
        <v>29296.26</v>
      </c>
      <c r="CK14" s="29">
        <v>-60040.619999999995</v>
      </c>
      <c r="CM14" s="5">
        <v>375720.42</v>
      </c>
      <c r="CO14" s="5">
        <v>204110.28000000003</v>
      </c>
      <c r="CQ14" s="5">
        <v>12271.769999999997</v>
      </c>
      <c r="CS14" s="5">
        <v>185592.49999999997</v>
      </c>
      <c r="CU14" s="5">
        <v>99381.669999999984</v>
      </c>
      <c r="CW14" s="5">
        <v>63732.709999999963</v>
      </c>
      <c r="CY14" s="5">
        <v>-110301.9</v>
      </c>
      <c r="DA14" s="5">
        <v>99920.53</v>
      </c>
      <c r="DB14" s="75"/>
      <c r="DC14" s="29"/>
      <c r="DD14" s="5"/>
      <c r="DE14" s="29"/>
      <c r="DF14" s="5"/>
      <c r="DG14" s="29"/>
      <c r="DH14" s="5"/>
      <c r="DI14" s="29">
        <f t="shared" si="0"/>
        <v>95066.51999999996</v>
      </c>
      <c r="DJ14" s="5"/>
      <c r="DK14" s="29">
        <f t="shared" si="1"/>
        <v>-835151.13</v>
      </c>
      <c r="DL14" s="5"/>
      <c r="DM14" s="29">
        <f t="shared" si="1"/>
        <v>88730.57</v>
      </c>
      <c r="DN14" s="5"/>
      <c r="DO14" s="29">
        <f t="shared" si="1"/>
        <v>-203728.00000000006</v>
      </c>
      <c r="DP14" s="5"/>
      <c r="DQ14" s="29">
        <f t="shared" si="2"/>
        <v>29491.270000000019</v>
      </c>
      <c r="DR14" s="5"/>
      <c r="DS14" s="29">
        <f t="shared" si="3"/>
        <v>-914205.21</v>
      </c>
      <c r="DT14" s="5"/>
      <c r="DU14" s="29">
        <f t="shared" si="3"/>
        <v>275340.93999999971</v>
      </c>
      <c r="DV14" s="5"/>
      <c r="DW14" s="29">
        <f t="shared" si="3"/>
        <v>479530.86</v>
      </c>
      <c r="DX14" s="5"/>
      <c r="DY14" s="29">
        <f t="shared" si="4"/>
        <v>300120.17000000004</v>
      </c>
      <c r="DZ14" s="5"/>
      <c r="EA14" s="29">
        <f t="shared" si="5"/>
        <v>-190845.72999999998</v>
      </c>
      <c r="EB14" s="5"/>
      <c r="EC14" s="29">
        <f t="shared" si="5"/>
        <v>449195.05999999982</v>
      </c>
      <c r="ED14" s="5"/>
      <c r="EE14" s="29">
        <f t="shared" si="5"/>
        <v>390598.95000000007</v>
      </c>
      <c r="EF14" s="5"/>
      <c r="EG14" s="29">
        <f t="shared" si="6"/>
        <v>467456.4800000001</v>
      </c>
      <c r="EH14" s="5"/>
      <c r="EI14" s="29">
        <f t="shared" si="7"/>
        <v>27328.850000000093</v>
      </c>
      <c r="EJ14" s="5"/>
      <c r="EK14" s="29">
        <f t="shared" si="7"/>
        <v>550772.89999999991</v>
      </c>
      <c r="EL14" s="5"/>
      <c r="EM14" s="29">
        <f t="shared" si="8"/>
        <v>248789.16999999998</v>
      </c>
      <c r="EN14" s="5"/>
      <c r="EO14" s="29">
        <f t="shared" si="9"/>
        <v>338859.54</v>
      </c>
      <c r="EP14" s="5"/>
      <c r="EQ14" s="29">
        <f t="shared" si="10"/>
        <v>20839.90000000014</v>
      </c>
      <c r="ER14" s="5"/>
      <c r="ES14" s="29">
        <f t="shared" si="11"/>
        <v>-13445.410000000149</v>
      </c>
      <c r="ET14" s="5"/>
      <c r="EU14" s="29">
        <f t="shared" si="12"/>
        <v>345887.63000000018</v>
      </c>
      <c r="EV14" s="5"/>
      <c r="EW14" s="29">
        <f t="shared" ref="EW14" si="19">AW14</f>
        <v>292830.13999999996</v>
      </c>
      <c r="EX14" s="5"/>
      <c r="EY14" s="29">
        <f t="shared" ref="EY14:FC14" si="20">AY14-BA14</f>
        <v>5434.640000000596</v>
      </c>
      <c r="EZ14" s="5"/>
      <c r="FA14" s="29">
        <f t="shared" si="20"/>
        <v>326068.59999999963</v>
      </c>
      <c r="FB14" s="5"/>
      <c r="FC14" s="29">
        <f t="shared" si="20"/>
        <v>2303386.83</v>
      </c>
      <c r="FD14" s="5"/>
      <c r="FE14" s="29">
        <f t="shared" si="15"/>
        <v>1088154.6100000001</v>
      </c>
      <c r="FF14" s="5"/>
      <c r="FG14" s="29">
        <v>452663.5699999996</v>
      </c>
      <c r="FH14" s="5"/>
      <c r="FI14" s="29">
        <f t="shared" si="16"/>
        <v>325776.31000000006</v>
      </c>
      <c r="FJ14" s="5"/>
      <c r="FK14" s="29">
        <f t="shared" si="16"/>
        <v>430611.38999999966</v>
      </c>
      <c r="FL14" s="5"/>
      <c r="FM14" s="29">
        <f t="shared" si="16"/>
        <v>393871.28000000049</v>
      </c>
      <c r="FN14" s="5"/>
      <c r="FO14" s="29">
        <f t="shared" si="16"/>
        <v>412666.5399999998</v>
      </c>
      <c r="FP14" s="5"/>
      <c r="FQ14" s="29">
        <f t="shared" si="16"/>
        <v>721906.67</v>
      </c>
      <c r="FR14" s="5"/>
      <c r="FS14" s="29">
        <f>BS14</f>
        <v>761758.12</v>
      </c>
      <c r="FT14" s="5"/>
      <c r="FU14" s="29">
        <f t="shared" si="17"/>
        <v>1158316.49</v>
      </c>
      <c r="FV14" s="5"/>
      <c r="FW14" s="29">
        <f t="shared" si="17"/>
        <v>438257.64999999991</v>
      </c>
      <c r="FX14" s="5"/>
      <c r="FY14" s="29">
        <f t="shared" si="17"/>
        <v>728001.13</v>
      </c>
      <c r="FZ14" s="5"/>
      <c r="GA14" s="29">
        <f>CA14</f>
        <v>393937.65</v>
      </c>
      <c r="GB14" s="5"/>
      <c r="GC14" s="29">
        <f t="shared" si="18"/>
        <v>410219.45</v>
      </c>
      <c r="GD14" s="5"/>
      <c r="GE14" s="29">
        <f t="shared" si="18"/>
        <v>45021.29</v>
      </c>
      <c r="GF14" s="5"/>
      <c r="GG14" s="29">
        <f t="shared" si="18"/>
        <v>-57459.6</v>
      </c>
      <c r="GH14" s="5"/>
      <c r="GI14" s="29">
        <f>CI14</f>
        <v>29296.26</v>
      </c>
      <c r="GJ14" s="5"/>
      <c r="GK14" s="29">
        <f>CK14-CM14</f>
        <v>-435761.04</v>
      </c>
      <c r="GL14" s="5"/>
      <c r="GM14" s="29">
        <f>CM14-CO14</f>
        <v>171610.13999999996</v>
      </c>
      <c r="GN14" s="5"/>
      <c r="GO14" s="29">
        <f>CO14-CQ14</f>
        <v>191838.51000000004</v>
      </c>
      <c r="GP14" s="5"/>
      <c r="GQ14" s="29">
        <f>CQ14</f>
        <v>12271.769999999997</v>
      </c>
      <c r="GR14" s="5"/>
      <c r="GS14" s="29">
        <f>CS14-CU14</f>
        <v>86210.829999999987</v>
      </c>
      <c r="GT14" s="5"/>
      <c r="GU14" s="29">
        <f>CU14-CW14</f>
        <v>35648.960000000021</v>
      </c>
    </row>
    <row r="15" spans="1:203">
      <c r="A15" s="26"/>
      <c r="C15" s="32"/>
      <c r="E15" s="32"/>
      <c r="G15" s="32"/>
      <c r="I15" s="32"/>
      <c r="K15" s="32"/>
      <c r="M15" s="32"/>
      <c r="O15" s="32"/>
      <c r="Q15" s="32"/>
      <c r="S15" s="32"/>
      <c r="U15" s="32"/>
      <c r="W15" s="32"/>
      <c r="Y15" s="32"/>
      <c r="AA15" s="32"/>
      <c r="AC15" s="32"/>
      <c r="AE15" s="32"/>
      <c r="AG15" s="32"/>
      <c r="AI15" s="32"/>
      <c r="AK15" s="32"/>
      <c r="AM15" s="32"/>
      <c r="AO15" s="32"/>
      <c r="AQ15" s="32"/>
      <c r="AS15" s="32"/>
      <c r="AU15" s="32"/>
      <c r="AW15" s="32"/>
      <c r="AY15" s="32"/>
      <c r="BA15" s="32"/>
      <c r="BC15" s="32"/>
      <c r="BE15" s="32"/>
      <c r="BG15" s="32"/>
      <c r="BI15" s="32"/>
      <c r="BK15" s="32"/>
      <c r="BM15" s="32"/>
      <c r="BO15" s="32"/>
      <c r="BQ15" s="32"/>
      <c r="BS15" s="32"/>
      <c r="BU15" s="32"/>
      <c r="BW15" s="32"/>
      <c r="BY15" s="32"/>
      <c r="CA15" s="32"/>
      <c r="CC15" s="32"/>
      <c r="CE15" s="32"/>
      <c r="CG15" s="32"/>
      <c r="CI15" s="32"/>
      <c r="CK15" s="32"/>
      <c r="CM15" s="32"/>
      <c r="CO15" s="32"/>
      <c r="CQ15" s="32"/>
      <c r="CS15" s="32"/>
      <c r="CU15" s="32"/>
      <c r="CW15" s="32"/>
      <c r="CY15" s="32"/>
      <c r="DA15" s="32"/>
      <c r="DB15" s="75"/>
      <c r="DC15" s="32"/>
      <c r="DD15" s="5"/>
      <c r="DE15" s="32"/>
      <c r="DF15" s="5"/>
      <c r="DG15" s="32"/>
      <c r="DH15" s="5"/>
      <c r="DI15" s="32"/>
      <c r="DJ15" s="5"/>
      <c r="DK15" s="32"/>
      <c r="DL15" s="5"/>
      <c r="DM15" s="32"/>
      <c r="DN15" s="5"/>
      <c r="DO15" s="32"/>
      <c r="DP15" s="5"/>
      <c r="DQ15" s="32"/>
      <c r="DR15" s="5"/>
      <c r="DS15" s="32"/>
      <c r="DT15" s="5"/>
      <c r="DU15" s="32"/>
      <c r="DV15" s="5"/>
      <c r="DW15" s="32"/>
      <c r="DX15" s="5"/>
      <c r="DY15" s="32"/>
      <c r="DZ15" s="5"/>
      <c r="EA15" s="32"/>
      <c r="EB15" s="5"/>
      <c r="EC15" s="32"/>
      <c r="ED15" s="5"/>
      <c r="EE15" s="32"/>
      <c r="EF15" s="5"/>
      <c r="EG15" s="32"/>
      <c r="EH15" s="5"/>
      <c r="EI15" s="32"/>
      <c r="EJ15" s="5"/>
      <c r="EK15" s="32"/>
      <c r="EL15" s="5"/>
      <c r="EM15" s="32"/>
      <c r="EN15" s="5"/>
      <c r="EO15" s="32"/>
      <c r="EP15" s="5"/>
      <c r="EQ15" s="32"/>
      <c r="ER15" s="5"/>
      <c r="ES15" s="32"/>
      <c r="ET15" s="5"/>
      <c r="EU15" s="32"/>
      <c r="EV15" s="5"/>
      <c r="EW15" s="32"/>
      <c r="EX15" s="5"/>
      <c r="EY15" s="32"/>
      <c r="EZ15" s="5"/>
      <c r="FA15" s="32"/>
      <c r="FB15" s="5"/>
      <c r="FC15" s="32"/>
      <c r="FD15" s="5"/>
      <c r="FE15" s="32"/>
      <c r="FF15" s="5"/>
      <c r="FG15" s="32"/>
      <c r="FH15" s="5"/>
      <c r="FI15" s="32"/>
      <c r="FJ15" s="5"/>
      <c r="FK15" s="32"/>
      <c r="FL15" s="5"/>
      <c r="FM15" s="32"/>
      <c r="FN15" s="5"/>
      <c r="FO15" s="32"/>
      <c r="FP15" s="5"/>
      <c r="FQ15" s="32"/>
      <c r="FR15" s="5"/>
      <c r="FS15" s="32"/>
      <c r="FT15" s="5"/>
      <c r="FU15" s="32"/>
      <c r="FV15" s="5"/>
      <c r="FW15" s="32"/>
      <c r="FX15" s="5"/>
      <c r="FY15" s="32"/>
      <c r="FZ15" s="5"/>
      <c r="GA15" s="32"/>
      <c r="GB15" s="5"/>
      <c r="GC15" s="32"/>
      <c r="GD15" s="5"/>
      <c r="GE15" s="32"/>
      <c r="GF15" s="5"/>
      <c r="GG15" s="32"/>
      <c r="GH15" s="5"/>
      <c r="GI15" s="32"/>
      <c r="GJ15" s="5"/>
      <c r="GK15" s="32"/>
      <c r="GL15" s="5"/>
      <c r="GM15" s="32"/>
      <c r="GN15" s="5"/>
      <c r="GO15" s="32"/>
      <c r="GP15" s="5"/>
      <c r="GQ15" s="32"/>
      <c r="GR15" s="5"/>
      <c r="GS15" s="32"/>
      <c r="GT15" s="5"/>
      <c r="GU15" s="32"/>
    </row>
    <row r="16" spans="1:203">
      <c r="A16" s="25" t="s">
        <v>65</v>
      </c>
      <c r="C16" s="31"/>
      <c r="E16" s="31"/>
      <c r="G16" s="31"/>
      <c r="I16" s="31">
        <f>I7+SUM(I9:I14)</f>
        <v>34479677.820000008</v>
      </c>
      <c r="K16" s="31">
        <f>K7+SUM(K9:K14)</f>
        <v>66712208.969999969</v>
      </c>
      <c r="M16" s="31">
        <f>M7+SUM(M9:M14)</f>
        <v>46151874.560000002</v>
      </c>
      <c r="O16" s="31">
        <f>O7+SUM(O9:O14)</f>
        <v>37229729.020000011</v>
      </c>
      <c r="Q16" s="31">
        <f>Q7+SUM(Q9:Q14)</f>
        <v>28921234.629999995</v>
      </c>
      <c r="S16" s="31">
        <f>S7+SUM(S9:S14)</f>
        <v>31513305.919999987</v>
      </c>
      <c r="U16" s="31">
        <f>U7+SUM(U9:U14)</f>
        <v>18438572.51000002</v>
      </c>
      <c r="W16" s="31">
        <f>W7+SUM(W9:W14)</f>
        <v>14378458.730000004</v>
      </c>
      <c r="Y16" s="31">
        <f>Y7+SUM(Y9:Y14)</f>
        <v>13931227.330000013</v>
      </c>
      <c r="AA16" s="31">
        <f>AA7+SUM(AA9:AA14)</f>
        <v>3944048.0500000268</v>
      </c>
      <c r="AC16" s="31">
        <f>AC7+SUM(AC9:AC14)</f>
        <v>1168844.4599999934</v>
      </c>
      <c r="AE16" s="31">
        <f>AE7+SUM(AE9:AE14)</f>
        <v>1563715.900000006</v>
      </c>
      <c r="AG16" s="31">
        <f>AG7+SUM(AG9:AG14)</f>
        <v>879269.51000000164</v>
      </c>
      <c r="AI16" s="31">
        <f>AI7+SUM(AI9:AI14)</f>
        <v>6451374.4099999964</v>
      </c>
      <c r="AK16" s="31">
        <f>AK7+SUM(AK9:AK14)</f>
        <v>3064411.9800000042</v>
      </c>
      <c r="AM16" s="31">
        <f>AM7+SUM(AM9:AM14)</f>
        <v>5361762.4600000009</v>
      </c>
      <c r="AO16" s="31">
        <f>AO7+SUM(AO9:AO14)</f>
        <v>3618401.2100000009</v>
      </c>
      <c r="AQ16" s="31">
        <f>AQ7+SUM(AQ9:AQ14)</f>
        <v>6617158.950000003</v>
      </c>
      <c r="AS16" s="31">
        <f>AS7+SUM(AS9:AS14)</f>
        <v>3892447.7299999893</v>
      </c>
      <c r="AU16" s="31">
        <f>AU7+SUM(AU9:AU14)</f>
        <v>3594187.3000000119</v>
      </c>
      <c r="AW16" s="31">
        <f>AW7+SUM(AW9:AW14)</f>
        <v>1639674.9300000034</v>
      </c>
      <c r="AY16" s="31">
        <f>AY7+SUM(AY9:AY14)</f>
        <v>10039757.830000013</v>
      </c>
      <c r="BA16" s="31">
        <f>BA7+SUM(BA9:BA14)</f>
        <v>10761869.050000012</v>
      </c>
      <c r="BC16" s="31">
        <f>BC7+SUM(BC9:BC14)</f>
        <v>11168752.73999998</v>
      </c>
      <c r="BE16" s="31">
        <f>BE7+SUM(BE9:BE14)</f>
        <v>10136356.539999992</v>
      </c>
      <c r="BG16" s="31">
        <f>BG7+SUM(BG9:BG14)</f>
        <v>-3224017.450000003</v>
      </c>
      <c r="BI16" s="31">
        <f>BI7+SUM(BI9:BI14)</f>
        <v>720492.33000000566</v>
      </c>
      <c r="BK16" s="31">
        <f>BK7+SUM(BK9:BK14)</f>
        <v>1834150.4399999976</v>
      </c>
      <c r="BM16" s="31">
        <f>BM7+SUM(BM9:BM14)</f>
        <v>2217976.0499999896</v>
      </c>
      <c r="BO16" s="31">
        <f>BO7+SUM(BO9:BO14)</f>
        <v>-1170351.3099999987</v>
      </c>
      <c r="BQ16" s="31">
        <f>BQ7+SUM(BQ9:BQ14)</f>
        <v>-628427.30999999866</v>
      </c>
      <c r="BS16" s="31">
        <f>BS7+SUM(BS9:BS14)</f>
        <v>-510574.54000000004</v>
      </c>
      <c r="BU16" s="31">
        <f>BU7+SUM(BU9:BU14)</f>
        <v>2455095.9099999964</v>
      </c>
      <c r="BW16" s="31">
        <f>BW7+SUM(BW9:BW14)</f>
        <v>-977254.60000000149</v>
      </c>
      <c r="BY16" s="31">
        <f>BY7+SUM(BY9:BY14)</f>
        <v>-933976.86999999732</v>
      </c>
      <c r="CA16" s="31">
        <f>CA7+SUM(CA9:CA14)</f>
        <v>-580874.63999999873</v>
      </c>
      <c r="CC16" s="31">
        <f>CC7+SUM(CC9:CC14)</f>
        <v>-75063.909999996424</v>
      </c>
      <c r="CE16" s="31">
        <f>CE7+SUM(CE9:CE14)</f>
        <v>-1249128.3900000006</v>
      </c>
      <c r="CG16" s="31">
        <f>CG7+SUM(CG9:CG14)</f>
        <v>-3222400.6899999995</v>
      </c>
      <c r="CI16" s="31">
        <f>CI7+SUM(CI9:CI14)</f>
        <v>-628035.6099999994</v>
      </c>
      <c r="CK16" s="31">
        <f>CK7+SUM(CK9:CK14)</f>
        <v>2154232.6199999973</v>
      </c>
      <c r="CM16" s="31">
        <f>CM7+SUM(CM9:CM14)</f>
        <v>-190044.95059931278</v>
      </c>
      <c r="CO16" s="31">
        <f>CO7+SUM(CO9:CO14)</f>
        <v>-268252.14706619829</v>
      </c>
      <c r="CQ16" s="31">
        <f>CQ7+SUM(CQ9:CQ14)</f>
        <v>-564910.28353310283</v>
      </c>
      <c r="CS16" s="31">
        <f>CS7+SUM(CS9:CS14)</f>
        <v>4625464.1705185249</v>
      </c>
      <c r="CU16" s="31">
        <f>CU7+SUM(CU9:CU14)</f>
        <v>1036365.7579378784</v>
      </c>
      <c r="CW16" s="31">
        <f>CW7+SUM(CW9:CW14)</f>
        <v>-653936.22470808029</v>
      </c>
      <c r="CY16" s="31">
        <f>CY7+SUM(CY9:CY14)</f>
        <v>1891689.5841651037</v>
      </c>
      <c r="DA16" s="31">
        <f>DA7+SUM(DA9:DA14)</f>
        <v>1756481.5263044015</v>
      </c>
      <c r="DB16" s="75"/>
      <c r="DC16" s="31"/>
      <c r="DD16" s="5"/>
      <c r="DE16" s="31"/>
      <c r="DF16" s="5"/>
      <c r="DG16" s="31"/>
      <c r="DH16" s="5"/>
      <c r="DI16" s="31">
        <f>DI7+SUM(DI9:DI14)</f>
        <v>34479677.820000008</v>
      </c>
      <c r="DJ16" s="5"/>
      <c r="DK16" s="31">
        <f>DK7+SUM(DK9:DK14)</f>
        <v>20560334.410000011</v>
      </c>
      <c r="DL16" s="5"/>
      <c r="DM16" s="31">
        <f>DM7+SUM(DM9:DM14)</f>
        <v>8922145.5400000215</v>
      </c>
      <c r="DN16" s="5"/>
      <c r="DO16" s="31">
        <f>DO7+SUM(DO9:DO14)</f>
        <v>8308494.3899999857</v>
      </c>
      <c r="DP16" s="5"/>
      <c r="DQ16" s="31">
        <f>DQ7+SUM(DQ9:DQ14)</f>
        <v>28921234.629999995</v>
      </c>
      <c r="DR16" s="5"/>
      <c r="DS16" s="31">
        <f>DS7+SUM(DS9:DS14)</f>
        <v>13074733.409999996</v>
      </c>
      <c r="DT16" s="5"/>
      <c r="DU16" s="31">
        <f>DU7+SUM(DU9:DU14)</f>
        <v>4060113.7800000012</v>
      </c>
      <c r="DV16" s="5"/>
      <c r="DW16" s="31">
        <f>DW7+SUM(DW9:DW14)</f>
        <v>447231.40000000969</v>
      </c>
      <c r="DX16" s="5"/>
      <c r="DY16" s="31">
        <f>DY7+SUM(DY9:DY14)</f>
        <v>13931227.330000013</v>
      </c>
      <c r="DZ16" s="5"/>
      <c r="EA16" s="31">
        <f>EA7+SUM(EA9:EA14)</f>
        <v>2775203.5900000185</v>
      </c>
      <c r="EB16" s="5"/>
      <c r="EC16" s="31">
        <f>EC7+SUM(EC9:EC14)</f>
        <v>-394871.44000000507</v>
      </c>
      <c r="ED16" s="5"/>
      <c r="EE16" s="31">
        <f>EE7+SUM(EE9:EE14)</f>
        <v>684446.39000000432</v>
      </c>
      <c r="EF16" s="5"/>
      <c r="EG16" s="31">
        <f>EG7+SUM(EG9:EG14)</f>
        <v>879269.51000000164</v>
      </c>
      <c r="EH16" s="5"/>
      <c r="EI16" s="31">
        <f>EI7+SUM(EI9:EI14)</f>
        <v>3386962.4299999997</v>
      </c>
      <c r="EJ16" s="5"/>
      <c r="EK16" s="31">
        <f>EK7+SUM(EK9:EK14)</f>
        <v>-2297350.4800000004</v>
      </c>
      <c r="EL16" s="5"/>
      <c r="EM16" s="31">
        <f>EM7+SUM(EM9:EM14)</f>
        <v>1743361.25</v>
      </c>
      <c r="EN16" s="5"/>
      <c r="EO16" s="31">
        <f>EO7+SUM(EO9:EO14)</f>
        <v>3618401.2100000009</v>
      </c>
      <c r="EP16" s="5"/>
      <c r="EQ16" s="31">
        <f>EQ7+SUM(EQ9:EQ14)</f>
        <v>2724711.2199999914</v>
      </c>
      <c r="ER16" s="5"/>
      <c r="ES16" s="31">
        <f>ES7+SUM(ES9:ES14)</f>
        <v>298260.42999999225</v>
      </c>
      <c r="ET16" s="5"/>
      <c r="EU16" s="31">
        <f>EU7+SUM(EU9:EU14)</f>
        <v>1954512.3700000048</v>
      </c>
      <c r="EV16" s="5"/>
      <c r="EW16" s="31">
        <f>EW7+SUM(EW9:EW14)</f>
        <v>1639674.9300000034</v>
      </c>
      <c r="EX16" s="5"/>
      <c r="EY16" s="31">
        <f>EY7+SUM(EY9:EY14)</f>
        <v>-722111.22000000253</v>
      </c>
      <c r="EZ16" s="5"/>
      <c r="FA16" s="31">
        <f>FA7+SUM(FA9:FA14)</f>
        <v>-406883.68999999389</v>
      </c>
      <c r="FB16" s="5"/>
      <c r="FC16" s="31">
        <f>FC7+SUM(FC9:FC14)</f>
        <v>1032396.2000000011</v>
      </c>
      <c r="FD16" s="5"/>
      <c r="FE16" s="31">
        <f>FE7+SUM(FE9:FE14)</f>
        <v>10136356.539999992</v>
      </c>
      <c r="FF16" s="5"/>
      <c r="FG16" s="31">
        <f>FG7+SUM(FG9:FG14)</f>
        <v>-1175559.8600000069</v>
      </c>
      <c r="FH16" s="5"/>
      <c r="FI16" s="31">
        <f>FI7+SUM(FI9:FI14)</f>
        <v>-1113658.1099999975</v>
      </c>
      <c r="FJ16" s="5"/>
      <c r="FK16" s="31">
        <f>FK7+SUM(FK9:FK14)</f>
        <v>-383825.60999999847</v>
      </c>
      <c r="FL16" s="5"/>
      <c r="FM16" s="31">
        <f>FM7+SUM(FM9:FM14)</f>
        <v>3388327.359999992</v>
      </c>
      <c r="FN16" s="5"/>
      <c r="FO16" s="31">
        <f>FO7+SUM(FO9:FO14)</f>
        <v>-541924</v>
      </c>
      <c r="FP16" s="5"/>
      <c r="FQ16" s="31">
        <f>FQ7+SUM(FQ9:FQ14)</f>
        <v>-117852.76999999862</v>
      </c>
      <c r="FR16" s="5"/>
      <c r="FS16" s="31">
        <f>FS7+SUM(FS9:FS14)</f>
        <v>-510574.54000000004</v>
      </c>
      <c r="FT16" s="5"/>
      <c r="FU16" s="31">
        <f>FU7+SUM(FU9:FU14)</f>
        <v>3432350.5099999979</v>
      </c>
      <c r="FV16" s="5"/>
      <c r="FW16" s="31">
        <f>FW7+SUM(FW9:FW14)</f>
        <v>-43277.730000000447</v>
      </c>
      <c r="FX16" s="5"/>
      <c r="FY16" s="31">
        <f>FY7+SUM(FY9:FY14)</f>
        <v>-353102.23000000045</v>
      </c>
      <c r="FZ16" s="5"/>
      <c r="GA16" s="31">
        <f>GA7+SUM(GA9:GA14)</f>
        <v>-580874.63999999873</v>
      </c>
      <c r="GB16" s="5"/>
      <c r="GC16" s="31">
        <f>GC7+SUM(GC9:GC14)</f>
        <v>1174064.4800000004</v>
      </c>
      <c r="GD16" s="5"/>
      <c r="GE16" s="31">
        <f>GE7+SUM(GE9:GE14)</f>
        <v>1973272.3000000045</v>
      </c>
      <c r="GF16" s="5"/>
      <c r="GG16" s="31">
        <f>GG7+SUM(GG9:GG14)</f>
        <v>-2594365.08</v>
      </c>
      <c r="GH16" s="5"/>
      <c r="GI16" s="31">
        <f>GI7+SUM(GI9:GI14)</f>
        <v>-628035.6099999994</v>
      </c>
      <c r="GJ16" s="5"/>
      <c r="GK16" s="31">
        <f>GK7+SUM(GK9:GK14)</f>
        <v>2344277.5705993101</v>
      </c>
      <c r="GL16" s="5"/>
      <c r="GM16" s="31">
        <f>GM7+SUM(GM9:GM14)</f>
        <v>78207.196466889232</v>
      </c>
      <c r="GN16" s="5"/>
      <c r="GO16" s="31">
        <f>GO7+SUM(GO9:GO14)</f>
        <v>296658.13646690175</v>
      </c>
      <c r="GP16" s="5"/>
      <c r="GQ16" s="31">
        <f>GQ7+SUM(GQ9:GQ14)</f>
        <v>-564910.28353310283</v>
      </c>
      <c r="GR16" s="5"/>
      <c r="GS16" s="31">
        <f>GS7+SUM(GS9:GS14)</f>
        <v>3589098.4125806503</v>
      </c>
      <c r="GT16" s="5"/>
      <c r="GU16" s="31">
        <f>GU7+SUM(GU9:GU14)</f>
        <v>1690301.9826459549</v>
      </c>
    </row>
    <row r="17" spans="1:203">
      <c r="A17" s="26"/>
      <c r="C17" s="32"/>
      <c r="E17" s="32"/>
      <c r="G17" s="32"/>
      <c r="I17" s="32"/>
      <c r="K17" s="32"/>
      <c r="M17" s="32"/>
      <c r="O17" s="32"/>
      <c r="Q17" s="32"/>
      <c r="S17" s="32"/>
      <c r="U17" s="32"/>
      <c r="W17" s="32"/>
      <c r="Y17" s="32"/>
      <c r="AA17" s="32"/>
      <c r="AC17" s="32"/>
      <c r="AE17" s="32"/>
      <c r="AG17" s="32"/>
      <c r="AI17" s="32"/>
      <c r="AK17" s="32"/>
      <c r="AM17" s="32"/>
      <c r="AO17" s="32"/>
      <c r="AQ17" s="32"/>
      <c r="AS17" s="32"/>
      <c r="AU17" s="32"/>
      <c r="AW17" s="32"/>
      <c r="AY17" s="32"/>
      <c r="BA17" s="32"/>
      <c r="BC17" s="32"/>
      <c r="BE17" s="32"/>
      <c r="BG17" s="32"/>
      <c r="BI17" s="32"/>
      <c r="BK17" s="32"/>
      <c r="BM17" s="32"/>
      <c r="BO17" s="32"/>
      <c r="BQ17" s="32"/>
      <c r="BS17" s="32"/>
      <c r="BU17" s="32"/>
      <c r="BW17" s="32"/>
      <c r="BY17" s="32"/>
      <c r="CA17" s="32"/>
      <c r="CC17" s="32"/>
      <c r="CE17" s="32"/>
      <c r="CG17" s="32"/>
      <c r="CI17" s="32"/>
      <c r="CK17" s="32"/>
      <c r="CM17" s="32"/>
      <c r="CO17" s="32"/>
      <c r="CQ17" s="32"/>
      <c r="CS17" s="32"/>
      <c r="CU17" s="32"/>
      <c r="CW17" s="32"/>
      <c r="CY17" s="32"/>
      <c r="DA17" s="32"/>
      <c r="DB17" s="75"/>
      <c r="DC17" s="32"/>
      <c r="DD17" s="5"/>
      <c r="DE17" s="32"/>
      <c r="DF17" s="5"/>
      <c r="DG17" s="32"/>
      <c r="DH17" s="5"/>
      <c r="DI17" s="32"/>
      <c r="DJ17" s="5"/>
      <c r="DK17" s="32"/>
      <c r="DL17" s="5"/>
      <c r="DM17" s="32"/>
      <c r="DN17" s="5"/>
      <c r="DO17" s="32"/>
      <c r="DP17" s="5"/>
      <c r="DQ17" s="32"/>
      <c r="DR17" s="5"/>
      <c r="DS17" s="32"/>
      <c r="DT17" s="5"/>
      <c r="DU17" s="32"/>
      <c r="DV17" s="5"/>
      <c r="DW17" s="32"/>
      <c r="DX17" s="5"/>
      <c r="DY17" s="32"/>
      <c r="DZ17" s="5"/>
      <c r="EA17" s="32"/>
      <c r="EB17" s="5"/>
      <c r="EC17" s="32"/>
      <c r="ED17" s="5"/>
      <c r="EE17" s="32"/>
      <c r="EF17" s="5"/>
      <c r="EG17" s="32"/>
      <c r="EH17" s="5"/>
      <c r="EI17" s="32"/>
      <c r="EJ17" s="5"/>
      <c r="EK17" s="32"/>
      <c r="EL17" s="5"/>
      <c r="EM17" s="32"/>
      <c r="EN17" s="5"/>
      <c r="EO17" s="32"/>
      <c r="EP17" s="5"/>
      <c r="EQ17" s="32"/>
      <c r="ER17" s="5"/>
      <c r="ES17" s="32"/>
      <c r="ET17" s="5"/>
      <c r="EU17" s="32"/>
      <c r="EV17" s="5"/>
      <c r="EW17" s="32"/>
      <c r="EX17" s="5"/>
      <c r="EY17" s="32"/>
      <c r="EZ17" s="5"/>
      <c r="FA17" s="32"/>
      <c r="FB17" s="5"/>
      <c r="FC17" s="32"/>
      <c r="FD17" s="5"/>
      <c r="FE17" s="32"/>
      <c r="FF17" s="5"/>
      <c r="FG17" s="32"/>
      <c r="FH17" s="5"/>
      <c r="FI17" s="32"/>
      <c r="FJ17" s="5"/>
      <c r="FK17" s="32"/>
      <c r="FL17" s="5"/>
      <c r="FM17" s="32"/>
      <c r="FN17" s="5"/>
      <c r="FO17" s="32"/>
      <c r="FP17" s="5"/>
      <c r="FQ17" s="32"/>
      <c r="FR17" s="5"/>
      <c r="FS17" s="32"/>
      <c r="FT17" s="5"/>
      <c r="FU17" s="32"/>
      <c r="FV17" s="5"/>
      <c r="FW17" s="32"/>
      <c r="FX17" s="5"/>
      <c r="FY17" s="32"/>
      <c r="FZ17" s="5"/>
      <c r="GA17" s="32"/>
      <c r="GB17" s="5"/>
      <c r="GC17" s="32"/>
      <c r="GD17" s="5"/>
      <c r="GE17" s="32"/>
      <c r="GF17" s="5"/>
      <c r="GG17" s="32"/>
      <c r="GH17" s="5"/>
      <c r="GI17" s="32"/>
      <c r="GJ17" s="5"/>
      <c r="GK17" s="32"/>
      <c r="GL17" s="5"/>
      <c r="GM17" s="32"/>
      <c r="GN17" s="5"/>
      <c r="GO17" s="32"/>
      <c r="GP17" s="5"/>
      <c r="GQ17" s="32"/>
      <c r="GR17" s="5"/>
      <c r="GS17" s="32"/>
      <c r="GT17" s="5"/>
      <c r="GU17" s="32"/>
    </row>
    <row r="18" spans="1:203">
      <c r="A18" s="26" t="s">
        <v>66</v>
      </c>
      <c r="C18" s="29"/>
      <c r="E18" s="29"/>
      <c r="G18" s="29"/>
      <c r="I18" s="29">
        <v>243074.81</v>
      </c>
      <c r="K18" s="29">
        <v>26530735.629999999</v>
      </c>
      <c r="M18" s="29">
        <v>23992013.59</v>
      </c>
      <c r="O18" s="29">
        <v>24025842.699999999</v>
      </c>
      <c r="Q18" s="29">
        <v>1238911.48</v>
      </c>
      <c r="S18" s="29">
        <v>3001403.67</v>
      </c>
      <c r="U18" s="29">
        <v>5081250.12</v>
      </c>
      <c r="W18" s="29">
        <v>3052152.8100000005</v>
      </c>
      <c r="Y18" s="29">
        <v>1059038.71</v>
      </c>
      <c r="AA18" s="29">
        <v>1601890.07</v>
      </c>
      <c r="AC18" s="29">
        <v>312552.87</v>
      </c>
      <c r="AE18" s="29">
        <v>370991.73</v>
      </c>
      <c r="AG18" s="29">
        <v>291271.67000000004</v>
      </c>
      <c r="AI18" s="29">
        <v>254309.34</v>
      </c>
      <c r="AK18" s="29">
        <v>459306.70999999996</v>
      </c>
      <c r="AM18" s="29">
        <v>334817.15999999997</v>
      </c>
      <c r="AO18" s="29">
        <v>352716.35</v>
      </c>
      <c r="AQ18" s="29">
        <v>562468.30000000005</v>
      </c>
      <c r="AS18" s="29">
        <v>482822.84</v>
      </c>
      <c r="AU18" s="29">
        <v>402489.05</v>
      </c>
      <c r="AW18" s="29">
        <v>309464.42</v>
      </c>
      <c r="AY18" s="29">
        <v>268490.14</v>
      </c>
      <c r="BA18" s="29">
        <v>236522.66999999998</v>
      </c>
      <c r="BC18" s="29">
        <v>181861.87</v>
      </c>
      <c r="BE18" s="29">
        <v>83410.69</v>
      </c>
      <c r="BG18" s="29">
        <v>433348.69</v>
      </c>
      <c r="BI18" s="29">
        <v>372287.14</v>
      </c>
      <c r="BK18" s="29">
        <v>340291.03</v>
      </c>
      <c r="BM18" s="29">
        <v>220089.96</v>
      </c>
      <c r="BO18" s="29">
        <v>149239.57999999999</v>
      </c>
      <c r="BQ18" s="29">
        <v>120422.54999999999</v>
      </c>
      <c r="BS18" s="29">
        <v>60593.13</v>
      </c>
      <c r="BU18" s="29">
        <v>153775.16</v>
      </c>
      <c r="BW18" s="29">
        <v>86630.01999999999</v>
      </c>
      <c r="BY18" s="29">
        <v>177091.90000000002</v>
      </c>
      <c r="CA18" s="29">
        <v>11462.66</v>
      </c>
      <c r="CC18" s="29">
        <v>94594.31</v>
      </c>
      <c r="CE18" s="29">
        <v>48424.53</v>
      </c>
      <c r="CG18" s="29">
        <v>47574.26</v>
      </c>
      <c r="CI18" s="29">
        <v>39899.120000000003</v>
      </c>
      <c r="CK18" s="29">
        <v>416089.28</v>
      </c>
      <c r="CM18" s="29">
        <v>257840.57</v>
      </c>
      <c r="CO18" s="29">
        <v>192172.18</v>
      </c>
      <c r="CQ18" s="29">
        <v>115325.12</v>
      </c>
      <c r="CS18" s="29">
        <v>274795.93</v>
      </c>
      <c r="CU18" s="29">
        <v>227522.82</v>
      </c>
      <c r="CW18" s="29">
        <v>168092.38</v>
      </c>
      <c r="CY18" s="5">
        <v>454108.88</v>
      </c>
      <c r="DA18" s="5">
        <v>414664.47871559591</v>
      </c>
      <c r="DB18" s="75"/>
      <c r="DC18" s="29"/>
      <c r="DD18" s="5"/>
      <c r="DE18" s="29"/>
      <c r="DF18" s="5"/>
      <c r="DG18" s="29"/>
      <c r="DH18" s="5"/>
      <c r="DI18" s="29">
        <f t="shared" ref="DI18:DI21" si="21">I18</f>
        <v>243074.81</v>
      </c>
      <c r="DJ18" s="5"/>
      <c r="DK18" s="29">
        <f t="shared" ref="DK18:DO21" si="22">K18-M18</f>
        <v>2538722.0399999991</v>
      </c>
      <c r="DL18" s="5"/>
      <c r="DM18" s="29">
        <f t="shared" si="22"/>
        <v>-33829.109999999404</v>
      </c>
      <c r="DN18" s="5"/>
      <c r="DO18" s="29">
        <f t="shared" si="22"/>
        <v>22786931.219999999</v>
      </c>
      <c r="DP18" s="5"/>
      <c r="DQ18" s="29">
        <f t="shared" ref="DQ18:DQ21" si="23">Q18</f>
        <v>1238911.48</v>
      </c>
      <c r="DR18" s="5"/>
      <c r="DS18" s="29">
        <f t="shared" ref="DS18:DW21" si="24">S18-U18</f>
        <v>-2079846.4500000002</v>
      </c>
      <c r="DT18" s="5"/>
      <c r="DU18" s="29">
        <f t="shared" si="24"/>
        <v>2029097.3099999996</v>
      </c>
      <c r="DV18" s="5"/>
      <c r="DW18" s="29">
        <f t="shared" si="24"/>
        <v>1993114.1000000006</v>
      </c>
      <c r="DX18" s="5"/>
      <c r="DY18" s="29">
        <f t="shared" ref="DY18:DY21" si="25">Y18</f>
        <v>1059038.71</v>
      </c>
      <c r="DZ18" s="5"/>
      <c r="EA18" s="29">
        <f t="shared" ref="EA18:EE21" si="26">AA18-AC18</f>
        <v>1289337.2000000002</v>
      </c>
      <c r="EB18" s="5"/>
      <c r="EC18" s="29">
        <f t="shared" si="26"/>
        <v>-58438.859999999986</v>
      </c>
      <c r="ED18" s="5"/>
      <c r="EE18" s="29">
        <f t="shared" si="26"/>
        <v>79720.059999999939</v>
      </c>
      <c r="EF18" s="5"/>
      <c r="EG18" s="29">
        <f t="shared" ref="EG18:EG21" si="27">AG18</f>
        <v>291271.67000000004</v>
      </c>
      <c r="EH18" s="5"/>
      <c r="EI18" s="29">
        <f t="shared" ref="EI18:EK21" si="28">AI18-AK18</f>
        <v>-204997.36999999997</v>
      </c>
      <c r="EJ18" s="5"/>
      <c r="EK18" s="29">
        <f t="shared" si="28"/>
        <v>124489.54999999999</v>
      </c>
      <c r="EL18" s="5"/>
      <c r="EM18" s="29">
        <f t="shared" ref="EM18:EM21" si="29">AM18-AO18</f>
        <v>-17899.190000000002</v>
      </c>
      <c r="EN18" s="5"/>
      <c r="EO18" s="29">
        <f t="shared" ref="EO18:EO21" si="30">AO18</f>
        <v>352716.35</v>
      </c>
      <c r="EP18" s="5"/>
      <c r="EQ18" s="29">
        <f t="shared" ref="EQ18:EQ21" si="31">AQ18-AS18</f>
        <v>79645.460000000021</v>
      </c>
      <c r="ER18" s="5"/>
      <c r="ES18" s="29">
        <f t="shared" ref="ES18:ES21" si="32">AS18-AU18</f>
        <v>80333.790000000037</v>
      </c>
      <c r="ET18" s="5"/>
      <c r="EU18" s="29">
        <f t="shared" ref="EU18:EU21" si="33">AU18-AW18</f>
        <v>93024.63</v>
      </c>
      <c r="EV18" s="5"/>
      <c r="EW18" s="29">
        <f t="shared" ref="EW18:EW21" si="34">AW18</f>
        <v>309464.42</v>
      </c>
      <c r="EX18" s="5"/>
      <c r="EY18" s="29">
        <f t="shared" ref="EY18:FC21" si="35">AY18-BA18</f>
        <v>31967.47000000003</v>
      </c>
      <c r="EZ18" s="5"/>
      <c r="FA18" s="29">
        <f t="shared" si="35"/>
        <v>54660.799999999988</v>
      </c>
      <c r="FB18" s="5"/>
      <c r="FC18" s="29">
        <f t="shared" si="35"/>
        <v>98451.18</v>
      </c>
      <c r="FD18" s="5"/>
      <c r="FE18" s="29">
        <f t="shared" ref="FE18:FE21" si="36">BE18</f>
        <v>83410.69</v>
      </c>
      <c r="FF18" s="5"/>
      <c r="FG18" s="29">
        <f t="shared" ref="FG18:FQ21" si="37">BG18-BI18</f>
        <v>61061.549999999988</v>
      </c>
      <c r="FH18" s="5"/>
      <c r="FI18" s="29">
        <f t="shared" si="37"/>
        <v>31996.109999999986</v>
      </c>
      <c r="FJ18" s="5"/>
      <c r="FK18" s="29">
        <f t="shared" si="37"/>
        <v>120201.07000000004</v>
      </c>
      <c r="FL18" s="5"/>
      <c r="FM18" s="29">
        <f t="shared" si="37"/>
        <v>70850.38</v>
      </c>
      <c r="FN18" s="5"/>
      <c r="FO18" s="29">
        <f t="shared" si="37"/>
        <v>28817.03</v>
      </c>
      <c r="FP18" s="5"/>
      <c r="FQ18" s="29">
        <f t="shared" si="37"/>
        <v>59829.419999999991</v>
      </c>
      <c r="FR18" s="5"/>
      <c r="FS18" s="29">
        <f>BS18</f>
        <v>60593.13</v>
      </c>
      <c r="FT18" s="5"/>
      <c r="FU18" s="29">
        <f t="shared" ref="FU18:FY21" si="38">BU18-BW18</f>
        <v>67145.140000000014</v>
      </c>
      <c r="FV18" s="5"/>
      <c r="FW18" s="29">
        <f t="shared" si="38"/>
        <v>-90461.880000000034</v>
      </c>
      <c r="FX18" s="5"/>
      <c r="FY18" s="29">
        <f t="shared" si="38"/>
        <v>165629.24000000002</v>
      </c>
      <c r="FZ18" s="5"/>
      <c r="GA18" s="29">
        <f>CA18</f>
        <v>11462.66</v>
      </c>
      <c r="GB18" s="5"/>
      <c r="GC18" s="29">
        <f t="shared" ref="GC18:GG21" si="39">CC18-CE18</f>
        <v>46169.78</v>
      </c>
      <c r="GD18" s="5"/>
      <c r="GE18" s="29">
        <f t="shared" si="39"/>
        <v>850.2699999999968</v>
      </c>
      <c r="GF18" s="5"/>
      <c r="GG18" s="29">
        <f t="shared" si="39"/>
        <v>7675.1399999999994</v>
      </c>
      <c r="GH18" s="5"/>
      <c r="GI18" s="29">
        <f>CI18</f>
        <v>39899.120000000003</v>
      </c>
      <c r="GJ18" s="5"/>
      <c r="GK18" s="29">
        <f>CK18-CM18</f>
        <v>158248.71000000002</v>
      </c>
      <c r="GL18" s="5"/>
      <c r="GM18" s="29">
        <f>CM18-CO18</f>
        <v>65668.390000000014</v>
      </c>
      <c r="GN18" s="5"/>
      <c r="GO18" s="29">
        <f>CO18-CQ18</f>
        <v>76847.06</v>
      </c>
      <c r="GP18" s="5"/>
      <c r="GQ18" s="29">
        <f>CQ18</f>
        <v>115325.12</v>
      </c>
      <c r="GR18" s="5"/>
      <c r="GS18" s="29">
        <f>CS18-CU18</f>
        <v>47273.109999999986</v>
      </c>
      <c r="GT18" s="5"/>
      <c r="GU18" s="29">
        <f>CU18-CW18</f>
        <v>59430.44</v>
      </c>
    </row>
    <row r="19" spans="1:203">
      <c r="A19" s="26" t="s">
        <v>67</v>
      </c>
      <c r="C19" s="29"/>
      <c r="E19" s="29"/>
      <c r="G19" s="29"/>
      <c r="I19" s="29">
        <v>-434379.67</v>
      </c>
      <c r="K19" s="29">
        <v>-1923176.73</v>
      </c>
      <c r="M19" s="29">
        <v>-1505819.19</v>
      </c>
      <c r="O19" s="29">
        <v>-1193248.05</v>
      </c>
      <c r="Q19" s="29">
        <v>-298149.77</v>
      </c>
      <c r="S19" s="29">
        <v>-2240574.44</v>
      </c>
      <c r="U19" s="29">
        <v>-2587655.8899999997</v>
      </c>
      <c r="W19" s="29">
        <v>-2768257.4699999997</v>
      </c>
      <c r="Y19" s="29">
        <v>-618861.9</v>
      </c>
      <c r="AA19" s="29">
        <v>-3752933.16</v>
      </c>
      <c r="AC19" s="29">
        <v>-1453702.99</v>
      </c>
      <c r="AE19" s="29">
        <v>-985799.01</v>
      </c>
      <c r="AG19" s="29">
        <v>-79483.820000000007</v>
      </c>
      <c r="AI19" s="29">
        <v>-1368630.89</v>
      </c>
      <c r="AK19" s="29">
        <v>-136349.54999999999</v>
      </c>
      <c r="AM19" s="29">
        <v>-87926.720000000001</v>
      </c>
      <c r="AO19" s="29">
        <v>-51123.83</v>
      </c>
      <c r="AQ19" s="29">
        <v>-446183.67999999999</v>
      </c>
      <c r="AS19" s="29">
        <v>-178984.01</v>
      </c>
      <c r="AU19" s="29">
        <v>-240587.16999999998</v>
      </c>
      <c r="AW19" s="29">
        <v>-95535.72</v>
      </c>
      <c r="AY19" s="29">
        <v>-272640.62</v>
      </c>
      <c r="BA19" s="29">
        <v>-53353.58</v>
      </c>
      <c r="BC19" s="29">
        <v>-38628.89</v>
      </c>
      <c r="BE19" s="29">
        <v>-26004.18</v>
      </c>
      <c r="BG19" s="29">
        <v>-368235.61</v>
      </c>
      <c r="BI19" s="29">
        <v>-322056.74</v>
      </c>
      <c r="BK19" s="29">
        <v>-284585.33</v>
      </c>
      <c r="BM19" s="29">
        <v>-252398.35</v>
      </c>
      <c r="BO19" s="29">
        <v>-197045.95</v>
      </c>
      <c r="BQ19" s="29">
        <v>-122023.43</v>
      </c>
      <c r="BS19" s="29">
        <v>-59593.54</v>
      </c>
      <c r="BU19" s="29">
        <v>-306206.07</v>
      </c>
      <c r="BW19" s="29">
        <v>-233758.85</v>
      </c>
      <c r="BY19" s="29">
        <v>-167618.34</v>
      </c>
      <c r="CA19" s="29">
        <v>-123235.69</v>
      </c>
      <c r="CC19" s="29">
        <v>-683593.88</v>
      </c>
      <c r="CE19" s="29">
        <v>-553919.15</v>
      </c>
      <c r="CG19" s="29">
        <v>-411835.3</v>
      </c>
      <c r="CI19" s="29">
        <v>-252343.77</v>
      </c>
      <c r="CK19" s="29">
        <v>-947500.03</v>
      </c>
      <c r="CM19" s="29">
        <v>-709046.70094831544</v>
      </c>
      <c r="CO19" s="29">
        <v>-494481.85990539019</v>
      </c>
      <c r="CQ19" s="29">
        <v>-134347.19570131268</v>
      </c>
      <c r="CS19" s="29">
        <v>-1185701.6310578722</v>
      </c>
      <c r="CU19" s="29">
        <v>-1007002.369008719</v>
      </c>
      <c r="CW19" s="29">
        <v>-774484.40410231077</v>
      </c>
      <c r="CY19" s="5">
        <v>-1156386.7692772141</v>
      </c>
      <c r="DA19" s="5">
        <v>-1531650.3996466864</v>
      </c>
      <c r="DB19" s="75"/>
      <c r="DC19" s="29"/>
      <c r="DD19" s="5"/>
      <c r="DE19" s="29"/>
      <c r="DF19" s="5"/>
      <c r="DG19" s="29"/>
      <c r="DH19" s="5"/>
      <c r="DI19" s="29">
        <f t="shared" si="21"/>
        <v>-434379.67</v>
      </c>
      <c r="DJ19" s="5"/>
      <c r="DK19" s="29">
        <f t="shared" si="22"/>
        <v>-417357.54000000004</v>
      </c>
      <c r="DL19" s="5"/>
      <c r="DM19" s="29">
        <f t="shared" si="22"/>
        <v>-312571.1399999999</v>
      </c>
      <c r="DN19" s="5"/>
      <c r="DO19" s="29">
        <f t="shared" si="22"/>
        <v>-895098.28</v>
      </c>
      <c r="DP19" s="5"/>
      <c r="DQ19" s="29">
        <f t="shared" si="23"/>
        <v>-298149.77</v>
      </c>
      <c r="DR19" s="5"/>
      <c r="DS19" s="29">
        <f t="shared" si="24"/>
        <v>347081.44999999972</v>
      </c>
      <c r="DT19" s="5"/>
      <c r="DU19" s="29">
        <f t="shared" si="24"/>
        <v>180601.58000000007</v>
      </c>
      <c r="DV19" s="5"/>
      <c r="DW19" s="29">
        <f t="shared" si="24"/>
        <v>-2149395.5699999998</v>
      </c>
      <c r="DX19" s="5"/>
      <c r="DY19" s="29">
        <f t="shared" si="25"/>
        <v>-618861.9</v>
      </c>
      <c r="DZ19" s="5"/>
      <c r="EA19" s="29">
        <f t="shared" si="26"/>
        <v>-2299230.17</v>
      </c>
      <c r="EB19" s="5"/>
      <c r="EC19" s="29">
        <f t="shared" si="26"/>
        <v>-467903.98</v>
      </c>
      <c r="ED19" s="5"/>
      <c r="EE19" s="29">
        <f t="shared" si="26"/>
        <v>-906315.19</v>
      </c>
      <c r="EF19" s="5"/>
      <c r="EG19" s="29">
        <f t="shared" si="27"/>
        <v>-79483.820000000007</v>
      </c>
      <c r="EH19" s="5"/>
      <c r="EI19" s="29">
        <f t="shared" si="28"/>
        <v>-1232281.3399999999</v>
      </c>
      <c r="EJ19" s="5"/>
      <c r="EK19" s="29">
        <f t="shared" si="28"/>
        <v>-48422.829999999987</v>
      </c>
      <c r="EL19" s="5"/>
      <c r="EM19" s="29">
        <f t="shared" si="29"/>
        <v>-36802.89</v>
      </c>
      <c r="EN19" s="5"/>
      <c r="EO19" s="29">
        <f t="shared" si="30"/>
        <v>-51123.83</v>
      </c>
      <c r="EP19" s="5"/>
      <c r="EQ19" s="29">
        <f t="shared" si="31"/>
        <v>-267199.67</v>
      </c>
      <c r="ER19" s="5"/>
      <c r="ES19" s="29">
        <f t="shared" si="32"/>
        <v>61603.159999999974</v>
      </c>
      <c r="ET19" s="5"/>
      <c r="EU19" s="29">
        <f t="shared" si="33"/>
        <v>-145051.44999999998</v>
      </c>
      <c r="EV19" s="5"/>
      <c r="EW19" s="29">
        <f t="shared" si="34"/>
        <v>-95535.72</v>
      </c>
      <c r="EX19" s="5"/>
      <c r="EY19" s="29">
        <f t="shared" si="35"/>
        <v>-219287.03999999998</v>
      </c>
      <c r="EZ19" s="5"/>
      <c r="FA19" s="29">
        <f t="shared" si="35"/>
        <v>-14724.690000000002</v>
      </c>
      <c r="FB19" s="5"/>
      <c r="FC19" s="29">
        <f t="shared" si="35"/>
        <v>-12624.71</v>
      </c>
      <c r="FD19" s="5"/>
      <c r="FE19" s="29">
        <f t="shared" si="36"/>
        <v>-26004.18</v>
      </c>
      <c r="FF19" s="5"/>
      <c r="FG19" s="29">
        <f t="shared" si="37"/>
        <v>-46178.869999999995</v>
      </c>
      <c r="FH19" s="5"/>
      <c r="FI19" s="29">
        <f t="shared" si="37"/>
        <v>-37471.409999999974</v>
      </c>
      <c r="FJ19" s="5"/>
      <c r="FK19" s="29">
        <f t="shared" si="37"/>
        <v>-32186.98000000001</v>
      </c>
      <c r="FL19" s="5"/>
      <c r="FM19" s="29">
        <f t="shared" si="37"/>
        <v>-55352.399999999994</v>
      </c>
      <c r="FN19" s="5"/>
      <c r="FO19" s="29">
        <f t="shared" si="37"/>
        <v>-75022.520000000019</v>
      </c>
      <c r="FP19" s="5"/>
      <c r="FQ19" s="29">
        <f t="shared" si="37"/>
        <v>-62429.889999999992</v>
      </c>
      <c r="FR19" s="5"/>
      <c r="FS19" s="29">
        <f>BS19</f>
        <v>-59593.54</v>
      </c>
      <c r="FT19" s="5"/>
      <c r="FU19" s="29">
        <f t="shared" si="38"/>
        <v>-72447.22</v>
      </c>
      <c r="FV19" s="5"/>
      <c r="FW19" s="29">
        <f t="shared" si="38"/>
        <v>-66140.510000000009</v>
      </c>
      <c r="FX19" s="5"/>
      <c r="FY19" s="29">
        <f t="shared" si="38"/>
        <v>-44382.649999999994</v>
      </c>
      <c r="FZ19" s="5"/>
      <c r="GA19" s="29">
        <f>CA19</f>
        <v>-123235.69</v>
      </c>
      <c r="GB19" s="5"/>
      <c r="GC19" s="29">
        <f t="shared" si="39"/>
        <v>-129674.72999999998</v>
      </c>
      <c r="GD19" s="5"/>
      <c r="GE19" s="29">
        <f t="shared" si="39"/>
        <v>-142083.85000000003</v>
      </c>
      <c r="GF19" s="5"/>
      <c r="GG19" s="29">
        <f t="shared" si="39"/>
        <v>-159491.53</v>
      </c>
      <c r="GH19" s="5"/>
      <c r="GI19" s="29">
        <f>CI19</f>
        <v>-252343.77</v>
      </c>
      <c r="GJ19" s="5"/>
      <c r="GK19" s="29">
        <f>CK19-CM19</f>
        <v>-238453.32905168459</v>
      </c>
      <c r="GL19" s="5"/>
      <c r="GM19" s="29">
        <f>CM19-CO19</f>
        <v>-214564.84104292525</v>
      </c>
      <c r="GN19" s="5"/>
      <c r="GO19" s="29">
        <f>CO19-CQ19</f>
        <v>-360134.6642040775</v>
      </c>
      <c r="GP19" s="5"/>
      <c r="GQ19" s="29">
        <f>CQ19</f>
        <v>-134347.19570131268</v>
      </c>
      <c r="GR19" s="5"/>
      <c r="GS19" s="29">
        <f>CS19-CU19</f>
        <v>-178699.26204915321</v>
      </c>
      <c r="GT19" s="5"/>
      <c r="GU19" s="29">
        <f>CU19-CW19</f>
        <v>-232517.96490640822</v>
      </c>
    </row>
    <row r="20" spans="1:203">
      <c r="A20" s="26" t="s">
        <v>68</v>
      </c>
      <c r="C20" s="29"/>
      <c r="E20" s="29"/>
      <c r="G20" s="29"/>
      <c r="I20" s="29">
        <v>0</v>
      </c>
      <c r="K20" s="29">
        <v>0</v>
      </c>
      <c r="M20" s="29">
        <v>0</v>
      </c>
      <c r="O20" s="29">
        <v>0</v>
      </c>
      <c r="Q20" s="29">
        <v>0</v>
      </c>
      <c r="S20" s="29"/>
      <c r="U20" s="29"/>
      <c r="W20" s="29">
        <v>0</v>
      </c>
      <c r="Y20" s="29">
        <v>0</v>
      </c>
      <c r="AA20" s="29">
        <v>0</v>
      </c>
      <c r="AC20" s="29">
        <v>0</v>
      </c>
      <c r="AE20" s="29">
        <v>0</v>
      </c>
      <c r="AG20" s="29">
        <v>0</v>
      </c>
      <c r="AI20" s="29">
        <v>0</v>
      </c>
      <c r="AK20" s="29">
        <v>0</v>
      </c>
      <c r="AM20" s="29">
        <v>0</v>
      </c>
      <c r="AO20" s="29">
        <v>0</v>
      </c>
      <c r="AQ20" s="29">
        <v>0</v>
      </c>
      <c r="AS20" s="29">
        <v>0</v>
      </c>
      <c r="AU20" s="29">
        <v>0</v>
      </c>
      <c r="AW20" s="29">
        <v>0</v>
      </c>
      <c r="AY20" s="29">
        <v>0</v>
      </c>
      <c r="BA20" s="29">
        <v>0</v>
      </c>
      <c r="BC20" s="29">
        <v>0</v>
      </c>
      <c r="BE20" s="29">
        <v>0</v>
      </c>
      <c r="BG20" s="29">
        <v>0</v>
      </c>
      <c r="BI20" s="29">
        <v>0</v>
      </c>
      <c r="BK20" s="29"/>
      <c r="BM20" s="29"/>
      <c r="BO20" s="29"/>
      <c r="BQ20" s="29"/>
      <c r="BS20" s="29"/>
      <c r="BU20" s="29"/>
      <c r="BW20" s="29"/>
      <c r="BY20" s="29"/>
      <c r="CA20" s="29"/>
      <c r="CC20" s="29"/>
      <c r="CE20" s="29"/>
      <c r="CG20" s="29"/>
      <c r="CI20" s="29"/>
      <c r="CK20" s="29">
        <v>0</v>
      </c>
      <c r="CM20" s="29">
        <v>0</v>
      </c>
      <c r="CO20" s="29">
        <v>0</v>
      </c>
      <c r="CQ20" s="29">
        <v>0</v>
      </c>
      <c r="CS20" s="29">
        <v>0</v>
      </c>
      <c r="CU20" s="29">
        <v>0</v>
      </c>
      <c r="CW20" s="29">
        <v>0</v>
      </c>
      <c r="CY20" s="5">
        <v>0</v>
      </c>
      <c r="DA20" s="5">
        <v>0</v>
      </c>
      <c r="DB20" s="78"/>
      <c r="DC20" s="29"/>
      <c r="DD20" s="5"/>
      <c r="DE20" s="29"/>
      <c r="DF20" s="5"/>
      <c r="DG20" s="29"/>
      <c r="DH20" s="5"/>
      <c r="DI20" s="29">
        <f t="shared" si="21"/>
        <v>0</v>
      </c>
      <c r="DJ20" s="5"/>
      <c r="DK20" s="29">
        <f t="shared" si="22"/>
        <v>0</v>
      </c>
      <c r="DL20" s="5"/>
      <c r="DM20" s="29">
        <f t="shared" si="22"/>
        <v>0</v>
      </c>
      <c r="DN20" s="5"/>
      <c r="DO20" s="29">
        <f t="shared" si="22"/>
        <v>0</v>
      </c>
      <c r="DP20" s="5"/>
      <c r="DQ20" s="29">
        <f t="shared" si="23"/>
        <v>0</v>
      </c>
      <c r="DR20" s="5"/>
      <c r="DS20" s="29">
        <f t="shared" si="24"/>
        <v>0</v>
      </c>
      <c r="DT20" s="5"/>
      <c r="DU20" s="29">
        <f t="shared" si="24"/>
        <v>0</v>
      </c>
      <c r="DV20" s="5"/>
      <c r="DW20" s="29">
        <f t="shared" si="24"/>
        <v>0</v>
      </c>
      <c r="DX20" s="5"/>
      <c r="DY20" s="29">
        <f t="shared" si="25"/>
        <v>0</v>
      </c>
      <c r="DZ20" s="5"/>
      <c r="EA20" s="29">
        <f t="shared" si="26"/>
        <v>0</v>
      </c>
      <c r="EB20" s="5"/>
      <c r="EC20" s="29">
        <f t="shared" si="26"/>
        <v>0</v>
      </c>
      <c r="ED20" s="5"/>
      <c r="EE20" s="29">
        <f t="shared" si="26"/>
        <v>0</v>
      </c>
      <c r="EF20" s="5"/>
      <c r="EG20" s="29">
        <f t="shared" si="27"/>
        <v>0</v>
      </c>
      <c r="EH20" s="5"/>
      <c r="EI20" s="29">
        <f t="shared" si="28"/>
        <v>0</v>
      </c>
      <c r="EJ20" s="5"/>
      <c r="EK20" s="29">
        <f t="shared" si="28"/>
        <v>0</v>
      </c>
      <c r="EL20" s="5"/>
      <c r="EM20" s="29">
        <f t="shared" si="29"/>
        <v>0</v>
      </c>
      <c r="EN20" s="5"/>
      <c r="EO20" s="29">
        <f t="shared" si="30"/>
        <v>0</v>
      </c>
      <c r="EP20" s="5"/>
      <c r="EQ20" s="29">
        <f t="shared" si="31"/>
        <v>0</v>
      </c>
      <c r="ER20" s="5"/>
      <c r="ES20" s="29">
        <f t="shared" si="32"/>
        <v>0</v>
      </c>
      <c r="ET20" s="5"/>
      <c r="EU20" s="29">
        <f t="shared" si="33"/>
        <v>0</v>
      </c>
      <c r="EV20" s="5"/>
      <c r="EW20" s="29">
        <f t="shared" si="34"/>
        <v>0</v>
      </c>
      <c r="EX20" s="5"/>
      <c r="EY20" s="29">
        <f t="shared" si="35"/>
        <v>0</v>
      </c>
      <c r="EZ20" s="5"/>
      <c r="FA20" s="29">
        <f t="shared" si="35"/>
        <v>0</v>
      </c>
      <c r="FB20" s="5"/>
      <c r="FC20" s="29">
        <f t="shared" si="35"/>
        <v>0</v>
      </c>
      <c r="FD20" s="5"/>
      <c r="FE20" s="29">
        <f t="shared" si="36"/>
        <v>0</v>
      </c>
      <c r="FF20" s="5"/>
      <c r="FG20" s="29">
        <f t="shared" si="37"/>
        <v>0</v>
      </c>
      <c r="FH20" s="5"/>
      <c r="FI20" s="29">
        <f t="shared" si="37"/>
        <v>0</v>
      </c>
      <c r="FJ20" s="5"/>
      <c r="FK20" s="29">
        <f t="shared" si="37"/>
        <v>0</v>
      </c>
      <c r="FL20" s="5"/>
      <c r="FM20" s="29">
        <f t="shared" si="37"/>
        <v>0</v>
      </c>
      <c r="FN20" s="5"/>
      <c r="FO20" s="29">
        <f t="shared" si="37"/>
        <v>0</v>
      </c>
      <c r="FP20" s="5"/>
      <c r="FQ20" s="29">
        <f t="shared" si="37"/>
        <v>0</v>
      </c>
      <c r="FR20" s="5"/>
      <c r="FS20" s="29">
        <f>BS20</f>
        <v>0</v>
      </c>
      <c r="FT20" s="5"/>
      <c r="FU20" s="29">
        <f t="shared" si="38"/>
        <v>0</v>
      </c>
      <c r="FV20" s="5"/>
      <c r="FW20" s="29">
        <f t="shared" si="38"/>
        <v>0</v>
      </c>
      <c r="FX20" s="5"/>
      <c r="FY20" s="29">
        <f t="shared" si="38"/>
        <v>0</v>
      </c>
      <c r="FZ20" s="5"/>
      <c r="GA20" s="29">
        <f>CA20</f>
        <v>0</v>
      </c>
      <c r="GB20" s="5"/>
      <c r="GC20" s="29">
        <f t="shared" si="39"/>
        <v>0</v>
      </c>
      <c r="GD20" s="5"/>
      <c r="GE20" s="29">
        <f t="shared" si="39"/>
        <v>0</v>
      </c>
      <c r="GF20" s="5"/>
      <c r="GG20" s="29">
        <f t="shared" si="39"/>
        <v>0</v>
      </c>
      <c r="GH20" s="5"/>
      <c r="GI20" s="29">
        <f>CI20</f>
        <v>0</v>
      </c>
      <c r="GJ20" s="5"/>
      <c r="GK20" s="29">
        <f>CK20-CM20</f>
        <v>0</v>
      </c>
      <c r="GL20" s="5"/>
      <c r="GM20" s="29">
        <f>CM20-CO20</f>
        <v>0</v>
      </c>
      <c r="GN20" s="5"/>
      <c r="GO20" s="29">
        <f>CO20-CQ20</f>
        <v>0</v>
      </c>
      <c r="GP20" s="5"/>
      <c r="GQ20" s="29">
        <f>CQ20</f>
        <v>0</v>
      </c>
      <c r="GR20" s="5"/>
      <c r="GS20" s="29">
        <f>CS20-CU20</f>
        <v>0</v>
      </c>
      <c r="GT20" s="5"/>
      <c r="GU20" s="29">
        <f>CU20-CW20</f>
        <v>0</v>
      </c>
    </row>
    <row r="21" spans="1:203" ht="18">
      <c r="A21" s="26" t="s">
        <v>69</v>
      </c>
      <c r="C21" s="29"/>
      <c r="E21" s="29"/>
      <c r="G21" s="29"/>
      <c r="I21" s="29">
        <v>0</v>
      </c>
      <c r="K21" s="29">
        <v>0</v>
      </c>
      <c r="M21" s="29">
        <v>0</v>
      </c>
      <c r="O21" s="29">
        <v>0</v>
      </c>
      <c r="Q21" s="29">
        <v>0</v>
      </c>
      <c r="S21" s="29"/>
      <c r="U21" s="29"/>
      <c r="W21" s="29">
        <v>0</v>
      </c>
      <c r="Y21" s="29">
        <v>0</v>
      </c>
      <c r="AA21" s="29">
        <v>0</v>
      </c>
      <c r="AC21" s="29">
        <v>0</v>
      </c>
      <c r="AE21" s="29">
        <v>0</v>
      </c>
      <c r="AG21" s="29">
        <v>0</v>
      </c>
      <c r="AI21" s="29">
        <v>0</v>
      </c>
      <c r="AK21" s="29">
        <v>0</v>
      </c>
      <c r="AM21" s="29">
        <v>0</v>
      </c>
      <c r="AO21" s="29">
        <v>0</v>
      </c>
      <c r="AQ21" s="29">
        <v>0</v>
      </c>
      <c r="AS21" s="29">
        <v>0</v>
      </c>
      <c r="AU21" s="29">
        <v>0</v>
      </c>
      <c r="AW21" s="29">
        <v>0</v>
      </c>
      <c r="AY21" s="29">
        <v>0</v>
      </c>
      <c r="BA21" s="29">
        <v>0</v>
      </c>
      <c r="BC21" s="29">
        <v>0</v>
      </c>
      <c r="BE21" s="29">
        <v>0</v>
      </c>
      <c r="BG21" s="29">
        <v>0</v>
      </c>
      <c r="BI21" s="29">
        <v>0</v>
      </c>
      <c r="BK21" s="29"/>
      <c r="BM21" s="29"/>
      <c r="BO21" s="29"/>
      <c r="BQ21" s="29"/>
      <c r="BS21" s="29"/>
      <c r="BU21" s="29"/>
      <c r="BW21" s="29"/>
      <c r="BY21" s="29"/>
      <c r="CA21" s="29"/>
      <c r="CC21" s="29"/>
      <c r="CE21" s="29"/>
      <c r="CG21" s="29"/>
      <c r="CI21" s="29"/>
      <c r="CK21" s="29">
        <v>0</v>
      </c>
      <c r="CM21" s="29">
        <v>0</v>
      </c>
      <c r="CO21" s="29">
        <v>0</v>
      </c>
      <c r="CQ21" s="29">
        <v>0</v>
      </c>
      <c r="CS21" s="29">
        <v>0</v>
      </c>
      <c r="CU21" s="29">
        <v>0</v>
      </c>
      <c r="CW21" s="29">
        <v>0</v>
      </c>
      <c r="CY21" s="5">
        <v>0</v>
      </c>
      <c r="DA21" s="5">
        <v>0</v>
      </c>
      <c r="DB21" s="75"/>
      <c r="DC21" s="29"/>
      <c r="DD21" s="5"/>
      <c r="DE21" s="29"/>
      <c r="DF21" s="5"/>
      <c r="DG21" s="29"/>
      <c r="DH21" s="5"/>
      <c r="DI21" s="29">
        <f t="shared" si="21"/>
        <v>0</v>
      </c>
      <c r="DJ21" s="5"/>
      <c r="DK21" s="29">
        <f t="shared" si="22"/>
        <v>0</v>
      </c>
      <c r="DL21" s="5"/>
      <c r="DM21" s="29">
        <f t="shared" si="22"/>
        <v>0</v>
      </c>
      <c r="DN21" s="5"/>
      <c r="DO21" s="29">
        <f t="shared" si="22"/>
        <v>0</v>
      </c>
      <c r="DP21" s="5"/>
      <c r="DQ21" s="29">
        <f t="shared" si="23"/>
        <v>0</v>
      </c>
      <c r="DR21" s="5"/>
      <c r="DS21" s="29">
        <f t="shared" si="24"/>
        <v>0</v>
      </c>
      <c r="DT21" s="5"/>
      <c r="DU21" s="29">
        <f t="shared" si="24"/>
        <v>0</v>
      </c>
      <c r="DV21" s="5"/>
      <c r="DW21" s="29">
        <f t="shared" si="24"/>
        <v>0</v>
      </c>
      <c r="DX21" s="5"/>
      <c r="DY21" s="29">
        <f t="shared" si="25"/>
        <v>0</v>
      </c>
      <c r="DZ21" s="5"/>
      <c r="EA21" s="29">
        <f t="shared" si="26"/>
        <v>0</v>
      </c>
      <c r="EB21" s="5"/>
      <c r="EC21" s="29">
        <f t="shared" si="26"/>
        <v>0</v>
      </c>
      <c r="ED21" s="5"/>
      <c r="EE21" s="29">
        <f t="shared" si="26"/>
        <v>0</v>
      </c>
      <c r="EF21" s="5"/>
      <c r="EG21" s="29">
        <f t="shared" si="27"/>
        <v>0</v>
      </c>
      <c r="EH21" s="5"/>
      <c r="EI21" s="29">
        <f t="shared" si="28"/>
        <v>0</v>
      </c>
      <c r="EJ21" s="5"/>
      <c r="EK21" s="29">
        <f t="shared" si="28"/>
        <v>0</v>
      </c>
      <c r="EL21" s="5"/>
      <c r="EM21" s="29">
        <f t="shared" si="29"/>
        <v>0</v>
      </c>
      <c r="EN21" s="5"/>
      <c r="EO21" s="29">
        <f t="shared" si="30"/>
        <v>0</v>
      </c>
      <c r="EP21" s="5"/>
      <c r="EQ21" s="29">
        <f t="shared" si="31"/>
        <v>0</v>
      </c>
      <c r="ER21" s="5"/>
      <c r="ES21" s="29">
        <f t="shared" si="32"/>
        <v>0</v>
      </c>
      <c r="ET21" s="5"/>
      <c r="EU21" s="29">
        <f t="shared" si="33"/>
        <v>0</v>
      </c>
      <c r="EV21" s="5"/>
      <c r="EW21" s="29">
        <f t="shared" si="34"/>
        <v>0</v>
      </c>
      <c r="EX21" s="5"/>
      <c r="EY21" s="29">
        <f t="shared" si="35"/>
        <v>0</v>
      </c>
      <c r="EZ21" s="5"/>
      <c r="FA21" s="29">
        <f t="shared" si="35"/>
        <v>0</v>
      </c>
      <c r="FB21" s="5"/>
      <c r="FC21" s="29">
        <f t="shared" si="35"/>
        <v>0</v>
      </c>
      <c r="FD21" s="5"/>
      <c r="FE21" s="29">
        <f t="shared" si="36"/>
        <v>0</v>
      </c>
      <c r="FF21" s="5"/>
      <c r="FG21" s="29">
        <f t="shared" si="37"/>
        <v>0</v>
      </c>
      <c r="FH21" s="5"/>
      <c r="FI21" s="29">
        <f t="shared" si="37"/>
        <v>0</v>
      </c>
      <c r="FJ21" s="5"/>
      <c r="FK21" s="29">
        <f t="shared" si="37"/>
        <v>0</v>
      </c>
      <c r="FL21" s="5"/>
      <c r="FM21" s="29">
        <f t="shared" si="37"/>
        <v>0</v>
      </c>
      <c r="FN21" s="5"/>
      <c r="FO21" s="29">
        <f t="shared" si="37"/>
        <v>0</v>
      </c>
      <c r="FP21" s="5"/>
      <c r="FQ21" s="29">
        <f t="shared" si="37"/>
        <v>0</v>
      </c>
      <c r="FR21" s="5"/>
      <c r="FS21" s="29">
        <f>BS21</f>
        <v>0</v>
      </c>
      <c r="FT21" s="5"/>
      <c r="FU21" s="29">
        <f t="shared" si="38"/>
        <v>0</v>
      </c>
      <c r="FV21" s="5"/>
      <c r="FW21" s="29">
        <f t="shared" si="38"/>
        <v>0</v>
      </c>
      <c r="FX21" s="5"/>
      <c r="FY21" s="29">
        <f t="shared" si="38"/>
        <v>0</v>
      </c>
      <c r="FZ21" s="5"/>
      <c r="GA21" s="29">
        <f>CA21</f>
        <v>0</v>
      </c>
      <c r="GB21" s="5"/>
      <c r="GC21" s="29">
        <f t="shared" si="39"/>
        <v>0</v>
      </c>
      <c r="GD21" s="5"/>
      <c r="GE21" s="29">
        <f t="shared" si="39"/>
        <v>0</v>
      </c>
      <c r="GF21" s="5"/>
      <c r="GG21" s="29">
        <f t="shared" si="39"/>
        <v>0</v>
      </c>
      <c r="GH21" s="5"/>
      <c r="GI21" s="29">
        <f>CI21</f>
        <v>0</v>
      </c>
      <c r="GJ21" s="5"/>
      <c r="GK21" s="29">
        <f>CK21-CM21</f>
        <v>0</v>
      </c>
      <c r="GL21" s="5"/>
      <c r="GM21" s="29">
        <f>CM21-CO21</f>
        <v>0</v>
      </c>
      <c r="GN21" s="5"/>
      <c r="GO21" s="29">
        <f>CO21-CQ21</f>
        <v>0</v>
      </c>
      <c r="GP21" s="5"/>
      <c r="GQ21" s="29">
        <f>CQ21</f>
        <v>0</v>
      </c>
      <c r="GR21" s="5"/>
      <c r="GS21" s="29"/>
      <c r="GT21" s="5"/>
      <c r="GU21" s="29">
        <f>CU21-CW21</f>
        <v>0</v>
      </c>
    </row>
    <row r="22" spans="1:203" ht="13">
      <c r="A22" s="33"/>
      <c r="B22" s="39"/>
      <c r="C22" s="29"/>
      <c r="D22" s="39"/>
      <c r="E22" s="29"/>
      <c r="F22" s="39"/>
      <c r="G22" s="29"/>
      <c r="H22" s="39"/>
      <c r="I22" s="29"/>
      <c r="J22" s="39"/>
      <c r="K22" s="29"/>
      <c r="L22" s="39"/>
      <c r="M22" s="29"/>
      <c r="N22" s="39"/>
      <c r="O22" s="29"/>
      <c r="P22" s="39"/>
      <c r="Q22" s="29"/>
      <c r="R22" s="39"/>
      <c r="S22" s="29"/>
      <c r="T22" s="39"/>
      <c r="U22" s="29"/>
      <c r="V22" s="39"/>
      <c r="W22" s="29"/>
      <c r="X22" s="39"/>
      <c r="Y22" s="29"/>
      <c r="Z22" s="39"/>
      <c r="AA22" s="29"/>
      <c r="AB22" s="39"/>
      <c r="AC22" s="29"/>
      <c r="AD22" s="39"/>
      <c r="AE22" s="29"/>
      <c r="AF22" s="39"/>
      <c r="AG22" s="29"/>
      <c r="AH22" s="39"/>
      <c r="AI22" s="29"/>
      <c r="AJ22" s="39"/>
      <c r="AK22" s="29"/>
      <c r="AL22" s="39"/>
      <c r="AM22" s="29"/>
      <c r="AN22" s="39"/>
      <c r="AO22" s="29"/>
      <c r="AP22" s="39"/>
      <c r="AQ22" s="29"/>
      <c r="AR22" s="39"/>
      <c r="AS22" s="29"/>
      <c r="AT22" s="39"/>
      <c r="AU22" s="29"/>
      <c r="AV22" s="39"/>
      <c r="AW22" s="29"/>
      <c r="AX22" s="39"/>
      <c r="AY22" s="29"/>
      <c r="AZ22" s="39"/>
      <c r="BA22" s="29"/>
      <c r="BB22" s="39"/>
      <c r="BC22" s="29"/>
      <c r="BD22" s="39"/>
      <c r="BE22" s="29"/>
      <c r="BF22" s="39"/>
      <c r="BG22" s="29"/>
      <c r="BH22" s="39"/>
      <c r="BI22" s="29"/>
      <c r="BJ22" s="39"/>
      <c r="BK22" s="29"/>
      <c r="BL22" s="39"/>
      <c r="BM22" s="29"/>
      <c r="BN22" s="39"/>
      <c r="BO22" s="29"/>
      <c r="BP22" s="39"/>
      <c r="BQ22" s="29"/>
      <c r="BR22" s="39"/>
      <c r="BS22" s="29"/>
      <c r="BT22" s="39"/>
      <c r="BU22" s="29"/>
      <c r="BV22" s="39"/>
      <c r="BW22" s="29"/>
      <c r="BX22" s="39"/>
      <c r="BY22" s="29"/>
      <c r="BZ22" s="39"/>
      <c r="CA22" s="29"/>
      <c r="CB22" s="39"/>
      <c r="CC22" s="29"/>
      <c r="CD22" s="39"/>
      <c r="CE22" s="29"/>
      <c r="CF22" s="39"/>
      <c r="CG22" s="29"/>
      <c r="CH22" s="39"/>
      <c r="CI22" s="29"/>
      <c r="CJ22" s="39"/>
      <c r="CK22" s="29"/>
      <c r="CL22" s="39"/>
      <c r="CM22" s="29"/>
      <c r="CN22" s="39"/>
      <c r="CO22" s="29"/>
      <c r="CP22" s="39"/>
      <c r="CQ22" s="29"/>
      <c r="CR22" s="39"/>
      <c r="CS22" s="29"/>
      <c r="CT22" s="39"/>
      <c r="CU22" s="29"/>
      <c r="CV22" s="39"/>
      <c r="CW22" s="29"/>
      <c r="CX22" s="39"/>
      <c r="CY22" s="29"/>
      <c r="CZ22" s="39"/>
      <c r="DA22" s="29"/>
      <c r="DB22" s="78"/>
      <c r="DC22" s="29"/>
      <c r="DD22" s="5"/>
      <c r="DE22" s="29"/>
      <c r="DF22" s="5"/>
      <c r="DG22" s="29"/>
      <c r="DH22" s="5"/>
      <c r="DI22" s="29"/>
      <c r="DJ22" s="5"/>
      <c r="DK22" s="29"/>
      <c r="DL22" s="5"/>
      <c r="DM22" s="29"/>
      <c r="DN22" s="5"/>
      <c r="DO22" s="29"/>
      <c r="DP22" s="5"/>
      <c r="DQ22" s="29"/>
      <c r="DR22" s="5"/>
      <c r="DS22" s="29"/>
      <c r="DT22" s="5"/>
      <c r="DU22" s="29"/>
      <c r="DV22" s="5"/>
      <c r="DW22" s="29"/>
      <c r="DX22" s="5"/>
      <c r="DY22" s="29"/>
      <c r="DZ22" s="5"/>
      <c r="EA22" s="29"/>
      <c r="EB22" s="5"/>
      <c r="EC22" s="29"/>
      <c r="ED22" s="5"/>
      <c r="EE22" s="29"/>
      <c r="EF22" s="5"/>
      <c r="EG22" s="29"/>
      <c r="EH22" s="5"/>
      <c r="EI22" s="29"/>
      <c r="EJ22" s="5"/>
      <c r="EK22" s="29"/>
      <c r="EL22" s="5"/>
      <c r="EM22" s="29"/>
      <c r="EN22" s="5"/>
      <c r="EO22" s="29"/>
      <c r="EP22" s="5"/>
      <c r="EQ22" s="29"/>
      <c r="ER22" s="5"/>
      <c r="ES22" s="29"/>
      <c r="ET22" s="5"/>
      <c r="EU22" s="29"/>
      <c r="EV22" s="5"/>
      <c r="EW22" s="29"/>
      <c r="EX22" s="5"/>
      <c r="EY22" s="29"/>
      <c r="EZ22" s="5"/>
      <c r="FA22" s="29"/>
      <c r="FB22" s="5"/>
      <c r="FC22" s="29"/>
      <c r="FD22" s="5"/>
      <c r="FE22" s="29"/>
      <c r="FF22" s="5"/>
      <c r="FG22" s="29"/>
      <c r="FH22" s="5"/>
      <c r="FI22" s="29"/>
      <c r="FJ22" s="5"/>
      <c r="FK22" s="29"/>
      <c r="FL22" s="5"/>
      <c r="FM22" s="29"/>
      <c r="FN22" s="5"/>
      <c r="FO22" s="29"/>
      <c r="FP22" s="5"/>
      <c r="FQ22" s="29"/>
      <c r="FR22" s="5"/>
      <c r="FS22" s="29"/>
      <c r="FT22" s="5"/>
      <c r="FU22" s="29"/>
      <c r="FV22" s="5"/>
      <c r="FW22" s="29"/>
      <c r="FX22" s="5"/>
      <c r="FY22" s="29"/>
      <c r="FZ22" s="5"/>
      <c r="GA22" s="29"/>
      <c r="GB22" s="5"/>
      <c r="GC22" s="29"/>
      <c r="GD22" s="5"/>
      <c r="GE22" s="29"/>
      <c r="GF22" s="5"/>
      <c r="GG22" s="29"/>
      <c r="GH22" s="5"/>
      <c r="GI22" s="29"/>
      <c r="GJ22" s="5"/>
      <c r="GK22" s="29"/>
      <c r="GL22" s="5"/>
      <c r="GM22" s="29"/>
      <c r="GN22" s="5"/>
      <c r="GO22" s="29"/>
      <c r="GP22" s="5"/>
      <c r="GQ22" s="29"/>
      <c r="GR22" s="5"/>
      <c r="GS22" s="29"/>
      <c r="GT22" s="5"/>
      <c r="GU22" s="29"/>
    </row>
    <row r="23" spans="1:203">
      <c r="A23" s="25" t="s">
        <v>70</v>
      </c>
      <c r="C23" s="31"/>
      <c r="E23" s="31"/>
      <c r="G23" s="31"/>
      <c r="I23" s="31">
        <f>SUM(I16,I18:I21)</f>
        <v>34288372.960000008</v>
      </c>
      <c r="K23" s="31">
        <f>SUM(K16,K18:K21)</f>
        <v>91319767.86999996</v>
      </c>
      <c r="M23" s="31">
        <f>SUM(M16,M18:M21)</f>
        <v>68638068.960000008</v>
      </c>
      <c r="O23" s="31">
        <f>SUM(O16,O18:O21)</f>
        <v>60062323.670000017</v>
      </c>
      <c r="Q23" s="31">
        <f>SUM(Q16,Q18:Q21)</f>
        <v>29861996.339999996</v>
      </c>
      <c r="S23" s="31">
        <f>SUM(S16,S18:S21)</f>
        <v>32274135.149999987</v>
      </c>
      <c r="U23" s="31">
        <f>SUM(U16,U18:U21)</f>
        <v>20932166.740000021</v>
      </c>
      <c r="W23" s="31">
        <f>SUM(W16,W18:W21)</f>
        <v>14662354.070000008</v>
      </c>
      <c r="Y23" s="31">
        <f>SUM(Y16,Y18:Y21)</f>
        <v>14371404.140000014</v>
      </c>
      <c r="AA23" s="31">
        <f>SUM(AA16,AA18:AA21)</f>
        <v>1793004.960000027</v>
      </c>
      <c r="AC23" s="31">
        <f>SUM(AC16,AC18:AC21)</f>
        <v>27694.339999993565</v>
      </c>
      <c r="AE23" s="31">
        <f>SUM(AE16,AE18:AE21)</f>
        <v>948908.62000000593</v>
      </c>
      <c r="AG23" s="31">
        <f>SUM(AG16,AG18:AG21)</f>
        <v>1091057.3600000015</v>
      </c>
      <c r="AI23" s="31">
        <f>SUM(AI16,AI18:AI21)</f>
        <v>5337052.8599999966</v>
      </c>
      <c r="AK23" s="31">
        <f>SUM(AK16,AK18:AK21)</f>
        <v>3387369.1400000043</v>
      </c>
      <c r="AM23" s="31">
        <f>SUM(AM16,AM18:AM21)</f>
        <v>5608652.9000000013</v>
      </c>
      <c r="AO23" s="31">
        <f>SUM(AO16,AO18:AO21)</f>
        <v>3919993.7300000009</v>
      </c>
      <c r="AQ23" s="31">
        <f>SUM(AQ16,AQ18:AQ21)</f>
        <v>6733443.5700000031</v>
      </c>
      <c r="AS23" s="31">
        <f>SUM(AS16,AS18:AS21)</f>
        <v>4196286.5599999893</v>
      </c>
      <c r="AU23" s="31">
        <f>SUM(AU16,AU18:AU21)</f>
        <v>3756089.1800000118</v>
      </c>
      <c r="AW23" s="31">
        <f>SUM(AW16,AW18:AW21)</f>
        <v>1853603.6300000034</v>
      </c>
      <c r="AY23" s="31">
        <f>SUM(AY16,AY18:AY21)</f>
        <v>10035607.350000015</v>
      </c>
      <c r="BA23" s="31">
        <f>SUM(BA16,BA18:BA21)</f>
        <v>10945038.140000012</v>
      </c>
      <c r="BC23" s="31">
        <f>SUM(BC16,BC18:BC21)</f>
        <v>11311985.719999978</v>
      </c>
      <c r="BE23" s="31">
        <f>SUM(BE16,BE18:BE21)</f>
        <v>10193763.049999991</v>
      </c>
      <c r="BG23" s="31">
        <f>SUM(BG16,BG18:BG21)</f>
        <v>-3158904.3700000029</v>
      </c>
      <c r="BI23" s="31">
        <f>SUM(BI16,BI18:BI21)</f>
        <v>770722.7300000058</v>
      </c>
      <c r="BK23" s="31">
        <f>SUM(BK16,BK18:BK21)</f>
        <v>1889856.1399999978</v>
      </c>
      <c r="BM23" s="31">
        <f>SUM(BM16,BM18:BM21)</f>
        <v>2185667.6599999894</v>
      </c>
      <c r="BO23" s="31">
        <f>SUM(BO16,BO18:BO21)</f>
        <v>-1218157.6799999988</v>
      </c>
      <c r="BQ23" s="31">
        <f>SUM(BQ16,BQ18:BQ21)</f>
        <v>-630028.18999999866</v>
      </c>
      <c r="BS23" s="31">
        <f>SUM(BS16,BS18:BS21)</f>
        <v>-509574.95</v>
      </c>
      <c r="BU23" s="31">
        <f>SUM(BU16,BU18:BU21)</f>
        <v>2302664.9999999967</v>
      </c>
      <c r="BW23" s="31">
        <f>SUM(BW16,BW18:BW21)</f>
        <v>-1124383.4300000016</v>
      </c>
      <c r="BY23" s="31">
        <f>SUM(BY16,BY18:BY21)</f>
        <v>-924503.30999999726</v>
      </c>
      <c r="CA23" s="31">
        <f>SUM(CA16,CA18:CA21)</f>
        <v>-692647.66999999876</v>
      </c>
      <c r="CC23" s="31">
        <f>SUM(CC16,CC18:CC21)</f>
        <v>-664063.47999999649</v>
      </c>
      <c r="CE23" s="31">
        <f>SUM(CE16,CE18:CE21)</f>
        <v>-1754623.0100000007</v>
      </c>
      <c r="CG23" s="31">
        <f>SUM(CG16,CG18:CG21)</f>
        <v>-3586661.7299999995</v>
      </c>
      <c r="CI23" s="31">
        <f>SUM(CI16,CI18:CI21)</f>
        <v>-840480.25999999943</v>
      </c>
      <c r="CK23" s="31">
        <f>SUM(CK16,CK18:CK21)</f>
        <v>1622821.8699999976</v>
      </c>
      <c r="CM23" s="31">
        <f>SUM(CM16,CM18:CM21)</f>
        <v>-641251.08154762816</v>
      </c>
      <c r="CO23" s="31">
        <f>SUM(CO16,CO18:CO21)</f>
        <v>-570561.82697158842</v>
      </c>
      <c r="CQ23" s="31">
        <f>SUM(CQ16,CQ18:CQ21)</f>
        <v>-583932.35923441546</v>
      </c>
      <c r="CS23" s="31">
        <f>SUM(CS16,CS18:CS21)</f>
        <v>3714558.4694606522</v>
      </c>
      <c r="CU23" s="31">
        <f>SUM(CU16,CU18:CU21)</f>
        <v>256886.20892915945</v>
      </c>
      <c r="CW23" s="31">
        <f>SUM(CW16,CW18:CW21)</f>
        <v>-1260328.2488103909</v>
      </c>
      <c r="CY23" s="31">
        <f>SUM(CY16,CY18:CY21)</f>
        <v>1189411.6948878895</v>
      </c>
      <c r="DA23" s="31">
        <f>SUM(DA16,DA18:DA21)</f>
        <v>639495.60537331086</v>
      </c>
      <c r="DB23" s="75"/>
      <c r="DC23" s="31"/>
      <c r="DD23" s="5"/>
      <c r="DE23" s="31"/>
      <c r="DF23" s="5"/>
      <c r="DG23" s="31"/>
      <c r="DH23" s="5"/>
      <c r="DI23" s="31">
        <f>SUM(DI16,DI18:DI21)</f>
        <v>34288372.960000008</v>
      </c>
      <c r="DJ23" s="5"/>
      <c r="DK23" s="31">
        <f>SUM(DK16,DK18:DK21)</f>
        <v>22681698.910000011</v>
      </c>
      <c r="DL23" s="5"/>
      <c r="DM23" s="31">
        <f>SUM(DM16,DM18:DM21)</f>
        <v>8575745.2900000215</v>
      </c>
      <c r="DN23" s="5"/>
      <c r="DO23" s="31">
        <f>SUM(DO16,DO18:DO21)</f>
        <v>30200327.329999983</v>
      </c>
      <c r="DP23" s="5"/>
      <c r="DQ23" s="31">
        <f>SUM(DQ16,DQ18:DQ21)</f>
        <v>29861996.339999996</v>
      </c>
      <c r="DR23" s="5"/>
      <c r="DS23" s="31">
        <f>SUM(DS16,DS18:DS21)</f>
        <v>11341968.409999996</v>
      </c>
      <c r="DT23" s="5"/>
      <c r="DU23" s="31">
        <f>SUM(DU16,DU18:DU21)</f>
        <v>6269812.6700000009</v>
      </c>
      <c r="DV23" s="5"/>
      <c r="DW23" s="31">
        <f>SUM(DW16,DW18:DW21)</f>
        <v>290949.93000001041</v>
      </c>
      <c r="DX23" s="5"/>
      <c r="DY23" s="31">
        <f>SUM(DY16,DY18:DY21)</f>
        <v>14371404.140000014</v>
      </c>
      <c r="DZ23" s="5"/>
      <c r="EA23" s="31">
        <f>SUM(EA16,EA18:EA21)</f>
        <v>1765310.6200000187</v>
      </c>
      <c r="EB23" s="5"/>
      <c r="EC23" s="31">
        <f>SUM(EC16,EC18:EC21)</f>
        <v>-921214.28000000503</v>
      </c>
      <c r="ED23" s="5"/>
      <c r="EE23" s="31">
        <f>SUM(EE16,EE18:EE21)</f>
        <v>-142148.73999999568</v>
      </c>
      <c r="EF23" s="5"/>
      <c r="EG23" s="31">
        <f>SUM(EG16,EG18:EG21)</f>
        <v>1091057.3600000015</v>
      </c>
      <c r="EH23" s="5"/>
      <c r="EI23" s="31">
        <f>SUM(EI16,EI18:EI21)</f>
        <v>1949683.7199999997</v>
      </c>
      <c r="EJ23" s="5"/>
      <c r="EK23" s="31">
        <f>SUM(EK16,EK18:EK21)</f>
        <v>-2221283.7600000007</v>
      </c>
      <c r="EL23" s="5"/>
      <c r="EM23" s="31">
        <f>SUM(EM16,EM18:EM21)</f>
        <v>1688659.1700000002</v>
      </c>
      <c r="EN23" s="5"/>
      <c r="EO23" s="31">
        <f>SUM(EO16,EO18:EO21)</f>
        <v>3919993.7300000009</v>
      </c>
      <c r="EP23" s="5"/>
      <c r="EQ23" s="31">
        <f>SUM(EQ16,EQ18:EQ21)</f>
        <v>2537157.0099999914</v>
      </c>
      <c r="ER23" s="5"/>
      <c r="ES23" s="31">
        <f>SUM(ES16,ES18:ES21)</f>
        <v>440197.37999999226</v>
      </c>
      <c r="ET23" s="5"/>
      <c r="EU23" s="31">
        <f>SUM(EU16,EU18:EU21)</f>
        <v>1902485.5500000047</v>
      </c>
      <c r="EV23" s="5"/>
      <c r="EW23" s="31">
        <f>SUM(EW16,EW18:EW21)</f>
        <v>1853603.6300000034</v>
      </c>
      <c r="EX23" s="5"/>
      <c r="EY23" s="31">
        <f>SUM(EY16,EY18:EY21)</f>
        <v>-909430.7900000026</v>
      </c>
      <c r="EZ23" s="5"/>
      <c r="FA23" s="31">
        <f>SUM(FA16,FA18:FA21)</f>
        <v>-366947.5799999939</v>
      </c>
      <c r="FB23" s="5"/>
      <c r="FC23" s="31">
        <f>SUM(FC16,FC18:FC21)</f>
        <v>1118222.6700000011</v>
      </c>
      <c r="FD23" s="5"/>
      <c r="FE23" s="31">
        <f>SUM(FE16,FE18:FE21)</f>
        <v>10193763.049999991</v>
      </c>
      <c r="FF23" s="5"/>
      <c r="FG23" s="31">
        <f>SUM(FG16,FG18:FG21)</f>
        <v>-1160677.1800000067</v>
      </c>
      <c r="FH23" s="5"/>
      <c r="FI23" s="31">
        <f>SUM(FI16,FI18:FI21)</f>
        <v>-1119133.4099999976</v>
      </c>
      <c r="FJ23" s="5"/>
      <c r="FK23" s="31">
        <f>SUM(FK16,FK18:FK21)</f>
        <v>-295811.51999999839</v>
      </c>
      <c r="FL23" s="5"/>
      <c r="FM23" s="31">
        <f>SUM(FM16,FM18:FM21)</f>
        <v>3403825.3399999919</v>
      </c>
      <c r="FN23" s="5"/>
      <c r="FO23" s="31">
        <f>SUM(FO16,FO18:FO21)</f>
        <v>-588129.49</v>
      </c>
      <c r="FP23" s="5"/>
      <c r="FQ23" s="31">
        <f>SUM(FQ16,FQ18:FQ21)</f>
        <v>-120453.23999999862</v>
      </c>
      <c r="FR23" s="5"/>
      <c r="FS23" s="31">
        <f>SUM(FS16,FS18:FS21)</f>
        <v>-509574.95</v>
      </c>
      <c r="FT23" s="5"/>
      <c r="FU23" s="31">
        <f>SUM(FU16,FU18:FU21)</f>
        <v>3427048.4299999978</v>
      </c>
      <c r="FV23" s="5"/>
      <c r="FW23" s="31">
        <f>SUM(FW16,FW18:FW21)</f>
        <v>-199880.12000000049</v>
      </c>
      <c r="FX23" s="5"/>
      <c r="FY23" s="31">
        <f>SUM(FY16,FY18:FY21)</f>
        <v>-231855.64000000042</v>
      </c>
      <c r="FZ23" s="5"/>
      <c r="GA23" s="31">
        <f>SUM(GA16,GA18:GA21)</f>
        <v>-692647.66999999876</v>
      </c>
      <c r="GB23" s="5"/>
      <c r="GC23" s="31">
        <f>SUM(GC16,GC18:GC21)</f>
        <v>1090559.5300000005</v>
      </c>
      <c r="GD23" s="5"/>
      <c r="GE23" s="31">
        <f>SUM(GE16,GE18:GE21)</f>
        <v>1832038.7200000044</v>
      </c>
      <c r="GF23" s="5"/>
      <c r="GG23" s="31">
        <f>SUM(GG16,GG18:GG21)</f>
        <v>-2746181.4699999997</v>
      </c>
      <c r="GH23" s="5"/>
      <c r="GI23" s="31">
        <f>SUM(GI16,GI18:GI21)</f>
        <v>-840480.25999999943</v>
      </c>
      <c r="GJ23" s="5"/>
      <c r="GK23" s="31">
        <f>SUM(GK16,GK18:GK21)</f>
        <v>2264072.9515476255</v>
      </c>
      <c r="GL23" s="5"/>
      <c r="GM23" s="31">
        <f>SUM(GM16,GM18:GM21)</f>
        <v>-70689.254576036008</v>
      </c>
      <c r="GN23" s="5"/>
      <c r="GO23" s="31">
        <f>SUM(GO16,GO18:GO21)</f>
        <v>13370.532262824243</v>
      </c>
      <c r="GP23" s="5"/>
      <c r="GQ23" s="31">
        <f>SUM(GQ16,GQ18:GQ21)</f>
        <v>-583932.35923441546</v>
      </c>
      <c r="GR23" s="5"/>
      <c r="GS23" s="31">
        <f>SUM(GS16,GS18:GS21)</f>
        <v>3457672.2605314972</v>
      </c>
      <c r="GT23" s="5"/>
      <c r="GU23" s="31">
        <f>SUM(GU16,GU18:GU21)</f>
        <v>1517214.4577395467</v>
      </c>
    </row>
    <row r="24" spans="1:203">
      <c r="A24" s="25"/>
      <c r="C24" s="29"/>
      <c r="E24" s="29"/>
      <c r="G24" s="29"/>
      <c r="I24" s="29"/>
      <c r="K24" s="29"/>
      <c r="M24" s="29"/>
      <c r="O24" s="29"/>
      <c r="Q24" s="29"/>
      <c r="S24" s="29"/>
      <c r="U24" s="29"/>
      <c r="W24" s="29"/>
      <c r="Y24" s="29"/>
      <c r="AA24" s="29"/>
      <c r="AC24" s="29"/>
      <c r="AE24" s="29"/>
      <c r="AG24" s="29"/>
      <c r="AI24" s="29"/>
      <c r="AK24" s="29"/>
      <c r="AM24" s="29"/>
      <c r="AO24" s="29"/>
      <c r="AQ24" s="29"/>
      <c r="AS24" s="29"/>
      <c r="AU24" s="29"/>
      <c r="AW24" s="29"/>
      <c r="AY24" s="29"/>
      <c r="BA24" s="29"/>
      <c r="BC24" s="29"/>
      <c r="BE24" s="29"/>
      <c r="BG24" s="29"/>
      <c r="BI24" s="29"/>
      <c r="BK24" s="29"/>
      <c r="BM24" s="29"/>
      <c r="BO24" s="29"/>
      <c r="BQ24" s="29"/>
      <c r="BS24" s="29"/>
      <c r="BU24" s="29"/>
      <c r="BW24" s="29"/>
      <c r="BY24" s="29"/>
      <c r="CA24" s="29"/>
      <c r="CC24" s="29"/>
      <c r="CE24" s="29"/>
      <c r="CG24" s="29"/>
      <c r="CI24" s="29"/>
      <c r="CK24" s="29"/>
      <c r="CM24" s="29"/>
      <c r="CO24" s="29"/>
      <c r="CQ24" s="29"/>
      <c r="CS24" s="29"/>
      <c r="CU24" s="29"/>
      <c r="CW24" s="29"/>
      <c r="CY24" s="29"/>
      <c r="DA24" s="29"/>
      <c r="DB24" s="75"/>
      <c r="DC24" s="29"/>
      <c r="DD24" s="5"/>
      <c r="DE24" s="29"/>
      <c r="DF24" s="5"/>
      <c r="DG24" s="29"/>
      <c r="DH24" s="5"/>
      <c r="DI24" s="29"/>
      <c r="DJ24" s="5"/>
      <c r="DK24" s="29"/>
      <c r="DL24" s="5"/>
      <c r="DM24" s="29"/>
      <c r="DN24" s="5"/>
      <c r="DO24" s="29"/>
      <c r="DP24" s="5"/>
      <c r="DQ24" s="29"/>
      <c r="DR24" s="5"/>
      <c r="DS24" s="29"/>
      <c r="DT24" s="5"/>
      <c r="DU24" s="29"/>
      <c r="DV24" s="5"/>
      <c r="DW24" s="29"/>
      <c r="DX24" s="5"/>
      <c r="DY24" s="29"/>
      <c r="DZ24" s="5"/>
      <c r="EA24" s="29"/>
      <c r="EB24" s="5"/>
      <c r="EC24" s="29"/>
      <c r="ED24" s="5"/>
      <c r="EE24" s="29"/>
      <c r="EF24" s="5"/>
      <c r="EG24" s="29"/>
      <c r="EH24" s="5"/>
      <c r="EI24" s="29"/>
      <c r="EJ24" s="5"/>
      <c r="EK24" s="29"/>
      <c r="EL24" s="5"/>
      <c r="EM24" s="29"/>
      <c r="EN24" s="5"/>
      <c r="EO24" s="29"/>
      <c r="EP24" s="5"/>
      <c r="EQ24" s="29"/>
      <c r="ER24" s="5"/>
      <c r="ES24" s="29"/>
      <c r="ET24" s="5"/>
      <c r="EU24" s="29"/>
      <c r="EV24" s="5"/>
      <c r="EW24" s="29"/>
      <c r="EX24" s="5"/>
      <c r="EY24" s="29"/>
      <c r="EZ24" s="5"/>
      <c r="FA24" s="29"/>
      <c r="FB24" s="5"/>
      <c r="FC24" s="29"/>
      <c r="FD24" s="5"/>
      <c r="FE24" s="29"/>
      <c r="FF24" s="5"/>
      <c r="FG24" s="29"/>
      <c r="FH24" s="5"/>
      <c r="FI24" s="29"/>
      <c r="FJ24" s="5"/>
      <c r="FK24" s="29"/>
      <c r="FL24" s="5"/>
      <c r="FM24" s="29"/>
      <c r="FN24" s="5"/>
      <c r="FO24" s="29"/>
      <c r="FP24" s="5"/>
      <c r="FQ24" s="29"/>
      <c r="FR24" s="5"/>
      <c r="FS24" s="29"/>
      <c r="FT24" s="5"/>
      <c r="FU24" s="29"/>
      <c r="FV24" s="5"/>
      <c r="FW24" s="29"/>
      <c r="FX24" s="5"/>
      <c r="FY24" s="29"/>
      <c r="FZ24" s="5"/>
      <c r="GA24" s="29"/>
      <c r="GB24" s="5"/>
      <c r="GC24" s="29"/>
      <c r="GD24" s="5"/>
      <c r="GE24" s="29"/>
      <c r="GF24" s="5"/>
      <c r="GG24" s="29"/>
      <c r="GH24" s="5"/>
      <c r="GI24" s="29"/>
      <c r="GJ24" s="5"/>
      <c r="GK24" s="29"/>
      <c r="GL24" s="5"/>
      <c r="GM24" s="29"/>
      <c r="GN24" s="5"/>
      <c r="GO24" s="29"/>
      <c r="GP24" s="5"/>
      <c r="GQ24" s="29"/>
      <c r="GR24" s="5"/>
      <c r="GS24" s="29"/>
      <c r="GT24" s="5"/>
      <c r="GU24" s="29"/>
    </row>
    <row r="25" spans="1:203">
      <c r="A25" s="26" t="s">
        <v>71</v>
      </c>
      <c r="C25" s="29"/>
      <c r="E25" s="29"/>
      <c r="G25" s="29"/>
      <c r="I25" s="29">
        <v>-6514790.8600000003</v>
      </c>
      <c r="K25" s="29">
        <v>-13796397.939999999</v>
      </c>
      <c r="M25" s="29">
        <v>-9046985</v>
      </c>
      <c r="O25" s="29">
        <v>-7360296</v>
      </c>
      <c r="Q25" s="29">
        <v>-5873296</v>
      </c>
      <c r="S25" s="29">
        <v>-6347719.0499999998</v>
      </c>
      <c r="U25" s="29">
        <v>-3983419</v>
      </c>
      <c r="W25" s="29">
        <v>-2806897</v>
      </c>
      <c r="Y25" s="29">
        <v>-2730566</v>
      </c>
      <c r="AA25" s="29">
        <v>-341281.5</v>
      </c>
      <c r="AC25" s="29">
        <v>-5262</v>
      </c>
      <c r="AE25" s="29">
        <v>-180292</v>
      </c>
      <c r="AG25" s="29">
        <v>-207301</v>
      </c>
      <c r="AI25" s="29">
        <v>-959589.36</v>
      </c>
      <c r="AK25" s="29">
        <v>-677474</v>
      </c>
      <c r="AM25" s="29">
        <v>-1121730</v>
      </c>
      <c r="AO25" s="29">
        <v>-783998.75</v>
      </c>
      <c r="AQ25" s="29">
        <v>-1333097.81</v>
      </c>
      <c r="AS25" s="29">
        <v>-944164</v>
      </c>
      <c r="AU25" s="29">
        <v>-841740</v>
      </c>
      <c r="AW25" s="29">
        <v>-416801</v>
      </c>
      <c r="AY25" s="29">
        <v>-2248785.9500000002</v>
      </c>
      <c r="BA25" s="29">
        <v>-2409340.9300000002</v>
      </c>
      <c r="BC25" s="29">
        <v>-2512302.9300000002</v>
      </c>
      <c r="BE25" s="29">
        <v>-2113346.8199999998</v>
      </c>
      <c r="BG25" s="29">
        <v>697086.71</v>
      </c>
      <c r="BI25" s="29">
        <v>-153187.64000000001</v>
      </c>
      <c r="BK25" s="29">
        <v>-331925.32</v>
      </c>
      <c r="BM25" s="29">
        <v>-388723.79</v>
      </c>
      <c r="BO25" s="29">
        <v>308832.53999999998</v>
      </c>
      <c r="BQ25" s="29">
        <v>155080.09</v>
      </c>
      <c r="BS25" s="29">
        <v>210914.34</v>
      </c>
      <c r="BU25" s="29">
        <v>-965282.15</v>
      </c>
      <c r="BW25" s="29">
        <v>-627234.15</v>
      </c>
      <c r="BY25" s="29">
        <v>-719127.88</v>
      </c>
      <c r="CA25" s="29">
        <v>-88970.94</v>
      </c>
      <c r="CC25" s="29">
        <v>-101935.63</v>
      </c>
      <c r="CE25" s="29">
        <v>345498.64</v>
      </c>
      <c r="CG25" s="29">
        <v>-52253.13</v>
      </c>
      <c r="CI25" s="29">
        <v>1920.95</v>
      </c>
      <c r="CK25" s="29">
        <v>-580335.28</v>
      </c>
      <c r="CM25" s="29">
        <v>-151723.63</v>
      </c>
      <c r="CO25" s="29">
        <v>63909.619999999995</v>
      </c>
      <c r="CQ25" s="29">
        <v>-158220.60999999999</v>
      </c>
      <c r="CS25" s="29">
        <v>-422467.01</v>
      </c>
      <c r="CU25" s="29">
        <v>16262.560000000001</v>
      </c>
      <c r="CW25" s="29">
        <v>-1395.7600000000002</v>
      </c>
      <c r="CY25" s="5">
        <v>-351424.22000000003</v>
      </c>
      <c r="DA25" s="5">
        <v>-99971.950000000012</v>
      </c>
      <c r="DB25" s="75"/>
      <c r="DC25" s="29"/>
      <c r="DD25" s="5"/>
      <c r="DE25" s="29"/>
      <c r="DF25" s="5"/>
      <c r="DG25" s="29"/>
      <c r="DH25" s="5"/>
      <c r="DI25" s="29">
        <f>I25</f>
        <v>-6514790.8600000003</v>
      </c>
      <c r="DJ25" s="5"/>
      <c r="DK25" s="29">
        <f>K25-M25</f>
        <v>-4749412.9399999995</v>
      </c>
      <c r="DL25" s="5"/>
      <c r="DM25" s="29">
        <f>M25-O25</f>
        <v>-1686689</v>
      </c>
      <c r="DN25" s="5"/>
      <c r="DO25" s="29">
        <f>O25-Q25</f>
        <v>-1487000</v>
      </c>
      <c r="DP25" s="5"/>
      <c r="DQ25" s="29">
        <f>Q25</f>
        <v>-5873296</v>
      </c>
      <c r="DR25" s="5"/>
      <c r="DS25" s="29">
        <f>S25-U25</f>
        <v>-2364300.0499999998</v>
      </c>
      <c r="DT25" s="5"/>
      <c r="DU25" s="29">
        <f>U25-W25</f>
        <v>-1176522</v>
      </c>
      <c r="DV25" s="5"/>
      <c r="DW25" s="29">
        <f>W25-Y25</f>
        <v>-76331</v>
      </c>
      <c r="DX25" s="5"/>
      <c r="DY25" s="29">
        <f>Y25</f>
        <v>-2730566</v>
      </c>
      <c r="DZ25" s="5"/>
      <c r="EA25" s="29">
        <f>AA25-AC25</f>
        <v>-336019.5</v>
      </c>
      <c r="EB25" s="5"/>
      <c r="EC25" s="29">
        <f>AC25-AE25</f>
        <v>175030</v>
      </c>
      <c r="ED25" s="5"/>
      <c r="EE25" s="29">
        <f>AE25-AG25</f>
        <v>27009</v>
      </c>
      <c r="EF25" s="5"/>
      <c r="EG25" s="29">
        <f>AG25</f>
        <v>-207301</v>
      </c>
      <c r="EH25" s="5"/>
      <c r="EI25" s="29">
        <f>AI25-AK25</f>
        <v>-282115.36</v>
      </c>
      <c r="EJ25" s="5"/>
      <c r="EK25" s="29">
        <f>AK25-AM25</f>
        <v>444256</v>
      </c>
      <c r="EL25" s="5"/>
      <c r="EM25" s="29">
        <f>AM25-AO25</f>
        <v>-337731.25</v>
      </c>
      <c r="EN25" s="5"/>
      <c r="EO25" s="29">
        <f>AO25</f>
        <v>-783998.75</v>
      </c>
      <c r="EP25" s="5"/>
      <c r="EQ25" s="29">
        <f>AQ25-AS25</f>
        <v>-388933.81000000006</v>
      </c>
      <c r="ER25" s="5"/>
      <c r="ES25" s="29">
        <f>AS25-AU25</f>
        <v>-102424</v>
      </c>
      <c r="ET25" s="5"/>
      <c r="EU25" s="29">
        <f>AU25-AW25</f>
        <v>-424939</v>
      </c>
      <c r="EV25" s="5"/>
      <c r="EW25" s="29">
        <f t="shared" ref="EW25" si="40">AW25</f>
        <v>-416801</v>
      </c>
      <c r="EX25" s="5"/>
      <c r="EY25" s="29">
        <f>AY25-BA25</f>
        <v>160554.97999999998</v>
      </c>
      <c r="EZ25" s="5"/>
      <c r="FA25" s="29">
        <f>BA25-BC25</f>
        <v>102962</v>
      </c>
      <c r="FB25" s="5"/>
      <c r="FC25" s="29">
        <f>BC25-BE25</f>
        <v>-398956.11000000034</v>
      </c>
      <c r="FD25" s="5"/>
      <c r="FE25" s="29">
        <f t="shared" ref="FE25" si="41">BE25</f>
        <v>-2113346.8199999998</v>
      </c>
      <c r="FF25" s="5"/>
      <c r="FG25" s="29">
        <v>324174.71000000002</v>
      </c>
      <c r="FH25" s="5"/>
      <c r="FI25" s="29">
        <f>BI25-BK25</f>
        <v>178737.68</v>
      </c>
      <c r="FJ25" s="5"/>
      <c r="FK25" s="29">
        <f>BK25-BM25</f>
        <v>56798.469999999972</v>
      </c>
      <c r="FL25" s="5"/>
      <c r="FM25" s="29">
        <f>BM25-BO25</f>
        <v>-697556.33</v>
      </c>
      <c r="FN25" s="5"/>
      <c r="FO25" s="29">
        <f>BO25-BQ25</f>
        <v>153752.44999999998</v>
      </c>
      <c r="FP25" s="5"/>
      <c r="FQ25" s="29">
        <f>BQ25-BS25</f>
        <v>-55834.25</v>
      </c>
      <c r="FR25" s="5"/>
      <c r="FS25" s="29">
        <f>BS25</f>
        <v>210914.34</v>
      </c>
      <c r="FT25" s="5"/>
      <c r="FU25" s="29">
        <f>BU25-BW25</f>
        <v>-338048</v>
      </c>
      <c r="FV25" s="5"/>
      <c r="FW25" s="29">
        <f>BW25-BY25</f>
        <v>91893.729999999981</v>
      </c>
      <c r="FX25" s="5"/>
      <c r="FY25" s="29">
        <f>BY25-CA25</f>
        <v>-630156.93999999994</v>
      </c>
      <c r="FZ25" s="5"/>
      <c r="GA25" s="29">
        <f>CA25</f>
        <v>-88970.94</v>
      </c>
      <c r="GB25" s="5"/>
      <c r="GC25" s="29">
        <f>CC25-CE25</f>
        <v>-447434.27</v>
      </c>
      <c r="GD25" s="5"/>
      <c r="GE25" s="29">
        <f>CE25-CG25</f>
        <v>397751.77</v>
      </c>
      <c r="GF25" s="5"/>
      <c r="GG25" s="29">
        <f>CG25-CI25</f>
        <v>-54174.079999999994</v>
      </c>
      <c r="GH25" s="5"/>
      <c r="GI25" s="29">
        <f>CI25</f>
        <v>1920.95</v>
      </c>
      <c r="GJ25" s="5"/>
      <c r="GK25" s="29">
        <f>CK25-CM25</f>
        <v>-428611.65</v>
      </c>
      <c r="GL25" s="5"/>
      <c r="GM25" s="29">
        <f>CM25-CO25</f>
        <v>-215633.25</v>
      </c>
      <c r="GN25" s="5"/>
      <c r="GO25" s="29">
        <f>CO25-CQ25</f>
        <v>222130.22999999998</v>
      </c>
      <c r="GP25" s="5"/>
      <c r="GQ25" s="29">
        <f>CQ25</f>
        <v>-158220.60999999999</v>
      </c>
      <c r="GR25" s="5"/>
      <c r="GS25" s="29">
        <f>CS25-CU25</f>
        <v>-438729.57</v>
      </c>
      <c r="GT25" s="5"/>
      <c r="GU25" s="29">
        <f>CU25-CW25</f>
        <v>17658.32</v>
      </c>
    </row>
    <row r="26" spans="1:203">
      <c r="A26" s="26"/>
      <c r="C26" s="32"/>
      <c r="E26" s="32"/>
      <c r="G26" s="32"/>
      <c r="I26" s="32"/>
      <c r="K26" s="32"/>
      <c r="M26" s="32"/>
      <c r="O26" s="32"/>
      <c r="Q26" s="32"/>
      <c r="S26" s="32"/>
      <c r="U26" s="32"/>
      <c r="W26" s="32"/>
      <c r="Y26" s="32"/>
      <c r="AA26" s="32"/>
      <c r="AC26" s="32"/>
      <c r="AE26" s="32"/>
      <c r="AG26" s="32"/>
      <c r="AI26" s="32"/>
      <c r="AK26" s="32"/>
      <c r="AM26" s="32"/>
      <c r="AO26" s="32"/>
      <c r="AQ26" s="32"/>
      <c r="AS26" s="32"/>
      <c r="AU26" s="32"/>
      <c r="AW26" s="32"/>
      <c r="AY26" s="32"/>
      <c r="BA26" s="32"/>
      <c r="BC26" s="32"/>
      <c r="BE26" s="32"/>
      <c r="BG26" s="32"/>
      <c r="BI26" s="32"/>
      <c r="BK26" s="32"/>
      <c r="BM26" s="32"/>
      <c r="BO26" s="32"/>
      <c r="BQ26" s="32"/>
      <c r="BS26" s="32"/>
      <c r="BU26" s="32"/>
      <c r="BW26" s="32"/>
      <c r="BY26" s="32"/>
      <c r="CA26" s="32"/>
      <c r="CC26" s="32"/>
      <c r="CE26" s="32"/>
      <c r="CG26" s="32"/>
      <c r="CI26" s="32"/>
      <c r="CK26" s="32"/>
      <c r="CM26" s="32"/>
      <c r="CO26" s="32"/>
      <c r="CQ26" s="32"/>
      <c r="CS26" s="32"/>
      <c r="CU26" s="32"/>
      <c r="CW26" s="32"/>
      <c r="CY26" s="32"/>
      <c r="DA26" s="32"/>
      <c r="DB26" s="75"/>
      <c r="DC26" s="32"/>
      <c r="DD26" s="5"/>
      <c r="DE26" s="32"/>
      <c r="DF26" s="5"/>
      <c r="DG26" s="32"/>
      <c r="DH26" s="5"/>
      <c r="DI26" s="32"/>
      <c r="DJ26" s="5"/>
      <c r="DK26" s="32"/>
      <c r="DL26" s="5"/>
      <c r="DM26" s="32"/>
      <c r="DN26" s="5"/>
      <c r="DO26" s="32"/>
      <c r="DP26" s="5"/>
      <c r="DQ26" s="32"/>
      <c r="DR26" s="5"/>
      <c r="DS26" s="32"/>
      <c r="DT26" s="5"/>
      <c r="DU26" s="32"/>
      <c r="DV26" s="5"/>
      <c r="DW26" s="32"/>
      <c r="DX26" s="5"/>
      <c r="DY26" s="32"/>
      <c r="DZ26" s="5"/>
      <c r="EA26" s="32"/>
      <c r="EB26" s="5"/>
      <c r="EC26" s="32"/>
      <c r="ED26" s="5"/>
      <c r="EE26" s="32"/>
      <c r="EF26" s="5"/>
      <c r="EG26" s="32"/>
      <c r="EH26" s="5"/>
      <c r="EI26" s="32"/>
      <c r="EJ26" s="5"/>
      <c r="EK26" s="32"/>
      <c r="EL26" s="5"/>
      <c r="EM26" s="32"/>
      <c r="EN26" s="5"/>
      <c r="EO26" s="32"/>
      <c r="EP26" s="5"/>
      <c r="EQ26" s="32"/>
      <c r="ER26" s="5"/>
      <c r="ES26" s="32"/>
      <c r="ET26" s="5"/>
      <c r="EU26" s="32"/>
      <c r="EV26" s="5"/>
      <c r="EW26" s="32"/>
      <c r="EX26" s="5"/>
      <c r="EY26" s="32"/>
      <c r="EZ26" s="5"/>
      <c r="FA26" s="32"/>
      <c r="FB26" s="5"/>
      <c r="FC26" s="32"/>
      <c r="FD26" s="5"/>
      <c r="FE26" s="32"/>
      <c r="FF26" s="5"/>
      <c r="FG26" s="32"/>
      <c r="FH26" s="5"/>
      <c r="FI26" s="32"/>
      <c r="FJ26" s="5"/>
      <c r="FK26" s="32"/>
      <c r="FL26" s="5"/>
      <c r="FM26" s="32"/>
      <c r="FN26" s="5"/>
      <c r="FO26" s="32"/>
      <c r="FP26" s="5"/>
      <c r="FQ26" s="32"/>
      <c r="FR26" s="5"/>
      <c r="FS26" s="32"/>
      <c r="FT26" s="5"/>
      <c r="FU26" s="32"/>
      <c r="FV26" s="5"/>
      <c r="FW26" s="32"/>
      <c r="FX26" s="5"/>
      <c r="FY26" s="32"/>
      <c r="FZ26" s="5"/>
      <c r="GA26" s="32"/>
      <c r="GB26" s="5"/>
      <c r="GC26" s="32"/>
      <c r="GD26" s="5"/>
      <c r="GE26" s="32"/>
      <c r="GF26" s="5"/>
      <c r="GG26" s="32"/>
      <c r="GH26" s="5"/>
      <c r="GI26" s="32"/>
      <c r="GJ26" s="5"/>
      <c r="GK26" s="32"/>
      <c r="GL26" s="5"/>
      <c r="GM26" s="32"/>
      <c r="GN26" s="5"/>
      <c r="GO26" s="32"/>
      <c r="GP26" s="5"/>
      <c r="GQ26" s="32"/>
      <c r="GR26" s="5"/>
      <c r="GS26" s="32"/>
      <c r="GT26" s="5"/>
      <c r="GU26" s="32"/>
    </row>
    <row r="27" spans="1:203">
      <c r="A27" s="25" t="s">
        <v>72</v>
      </c>
      <c r="C27" s="31"/>
      <c r="E27" s="31"/>
      <c r="G27" s="31"/>
      <c r="I27" s="31">
        <f>SUM(I20,I22:I25)</f>
        <v>27773582.100000009</v>
      </c>
      <c r="K27" s="31">
        <f>SUM(K20,K22:K25)</f>
        <v>77523369.929999962</v>
      </c>
      <c r="M27" s="31">
        <f>SUM(M20,M22:M25)</f>
        <v>59591083.960000008</v>
      </c>
      <c r="O27" s="31">
        <f>SUM(O20,O22:O25)</f>
        <v>52702027.670000017</v>
      </c>
      <c r="Q27" s="31">
        <f>SUM(Q20,Q22:Q25)</f>
        <v>23988700.339999996</v>
      </c>
      <c r="S27" s="31">
        <f>SUM(S20,S22:S25)</f>
        <v>25926416.099999987</v>
      </c>
      <c r="U27" s="31">
        <f>SUM(U20,U22:U25)</f>
        <v>16948747.740000021</v>
      </c>
      <c r="W27" s="31">
        <f>SUM(W20,W22:W25)</f>
        <v>11855457.070000008</v>
      </c>
      <c r="Y27" s="31">
        <f>SUM(Y20,Y22:Y25)</f>
        <v>11640838.140000014</v>
      </c>
      <c r="AA27" s="31">
        <f>SUM(AA20,AA22:AA25)</f>
        <v>1451723.460000027</v>
      </c>
      <c r="AC27" s="31">
        <f>SUM(AC20,AC22:AC25)</f>
        <v>22432.339999993565</v>
      </c>
      <c r="AE27" s="31">
        <f>SUM(AE20,AE22:AE25)</f>
        <v>768616.62000000593</v>
      </c>
      <c r="AG27" s="31">
        <f>SUM(AG20,AG22:AG25)</f>
        <v>883756.3600000015</v>
      </c>
      <c r="AI27" s="31">
        <f>SUM(AI20,AI22:AI25)</f>
        <v>4377463.4999999963</v>
      </c>
      <c r="AK27" s="31">
        <f>SUM(AK20,AK22:AK25)</f>
        <v>2709895.1400000043</v>
      </c>
      <c r="AM27" s="31">
        <f>SUM(AM20,AM22:AM25)</f>
        <v>4486922.9000000013</v>
      </c>
      <c r="AO27" s="31">
        <f>SUM(AO20,AO22:AO25)</f>
        <v>3135994.9800000009</v>
      </c>
      <c r="AQ27" s="31">
        <f>SUM(AQ20,AQ22:AQ25)</f>
        <v>5400345.7600000035</v>
      </c>
      <c r="AS27" s="31">
        <f>SUM(AS20,AS22:AS25)</f>
        <v>3252122.5599999893</v>
      </c>
      <c r="AU27" s="31">
        <f>AU23+AU25</f>
        <v>2914349.1800000118</v>
      </c>
      <c r="AW27" s="31">
        <f>AW23+AW25</f>
        <v>1436802.6300000034</v>
      </c>
      <c r="AY27" s="31">
        <f>SUM(AY20,AY22:AY25)</f>
        <v>7786821.4000000143</v>
      </c>
      <c r="BA27" s="31">
        <f>SUM(BA20,BA22:BA25)</f>
        <v>8535697.2100000121</v>
      </c>
      <c r="BC27" s="31">
        <f>BC23+BC25</f>
        <v>8799682.7899999786</v>
      </c>
      <c r="BE27" s="31">
        <f>BE23+BE25</f>
        <v>8080416.2299999911</v>
      </c>
      <c r="BG27" s="31">
        <f>BG23+BG25</f>
        <v>-2461817.6600000029</v>
      </c>
      <c r="BI27" s="31">
        <f>BI23+BI25</f>
        <v>617535.09000000579</v>
      </c>
      <c r="BK27" s="31">
        <f>BK23+BK25</f>
        <v>1557930.8199999977</v>
      </c>
      <c r="BM27" s="31">
        <f>BM23+BM25</f>
        <v>1796943.8699999894</v>
      </c>
      <c r="BO27" s="31">
        <f>BO23+BO25</f>
        <v>-909325.13999999873</v>
      </c>
      <c r="BQ27" s="31">
        <f>BQ23+BQ25</f>
        <v>-474948.0999999987</v>
      </c>
      <c r="BS27" s="31">
        <f>BS23+BS25</f>
        <v>-298660.61</v>
      </c>
      <c r="BU27" s="31">
        <f>BU23+BU25</f>
        <v>1337382.8499999968</v>
      </c>
      <c r="BW27" s="31">
        <f>BW23+BW25</f>
        <v>-1751617.5800000015</v>
      </c>
      <c r="BY27" s="31">
        <f>BY23+BY25</f>
        <v>-1643631.1899999972</v>
      </c>
      <c r="CA27" s="31">
        <f>CA23+CA25</f>
        <v>-781618.60999999871</v>
      </c>
      <c r="CC27" s="31">
        <f>CC23+CC25</f>
        <v>-765999.10999999649</v>
      </c>
      <c r="CE27" s="31">
        <f>CE23+CE25</f>
        <v>-1409124.3700000006</v>
      </c>
      <c r="CG27" s="31">
        <f>CG23+CG25</f>
        <v>-3638914.8599999994</v>
      </c>
      <c r="CI27" s="31">
        <f>CI23+CI25</f>
        <v>-838559.30999999947</v>
      </c>
      <c r="CK27" s="31">
        <f>CK23+CK25</f>
        <v>1042486.5899999975</v>
      </c>
      <c r="CM27" s="31">
        <f>CM23+CM25</f>
        <v>-792974.71154762816</v>
      </c>
      <c r="CO27" s="31">
        <f>CO23+CO25</f>
        <v>-506652.20697158843</v>
      </c>
      <c r="CQ27" s="31">
        <f>CQ23+CQ25</f>
        <v>-742152.96923441545</v>
      </c>
      <c r="CS27" s="31">
        <f>CS23+CS25</f>
        <v>3292091.4594606524</v>
      </c>
      <c r="CU27" s="31">
        <f>CU23+CU25</f>
        <v>273148.76892915944</v>
      </c>
      <c r="CW27" s="31">
        <f>CW23+CW25</f>
        <v>-1261724.008810391</v>
      </c>
      <c r="CY27" s="31">
        <f>CY23+CY25</f>
        <v>837987.47488788958</v>
      </c>
      <c r="DA27" s="31">
        <f>DA23+DA25</f>
        <v>539523.6553733109</v>
      </c>
      <c r="DB27" s="75"/>
      <c r="DC27" s="31"/>
      <c r="DD27" s="5"/>
      <c r="DE27" s="31"/>
      <c r="DF27" s="5"/>
      <c r="DG27" s="31"/>
      <c r="DH27" s="5"/>
      <c r="DI27" s="31">
        <f>DI23+DI25</f>
        <v>27773582.100000009</v>
      </c>
      <c r="DJ27" s="5"/>
      <c r="DK27" s="31">
        <f>DK23+DK25</f>
        <v>17932285.970000014</v>
      </c>
      <c r="DL27" s="5"/>
      <c r="DM27" s="31">
        <f>DM23+DM25</f>
        <v>6889056.2900000215</v>
      </c>
      <c r="DN27" s="5"/>
      <c r="DO27" s="31">
        <f>DO23+DO25</f>
        <v>28713327.329999983</v>
      </c>
      <c r="DP27" s="5"/>
      <c r="DQ27" s="31">
        <f>DQ23+DQ25</f>
        <v>23988700.339999996</v>
      </c>
      <c r="DR27" s="5"/>
      <c r="DS27" s="31">
        <f>DS23+DS25</f>
        <v>8977668.3599999957</v>
      </c>
      <c r="DT27" s="5"/>
      <c r="DU27" s="31">
        <f>DU23+DU25</f>
        <v>5093290.6700000009</v>
      </c>
      <c r="DV27" s="5"/>
      <c r="DW27" s="31">
        <f>DW23+DW25</f>
        <v>214618.93000001041</v>
      </c>
      <c r="DX27" s="5"/>
      <c r="DY27" s="31">
        <f>DY23+DY25</f>
        <v>11640838.140000014</v>
      </c>
      <c r="DZ27" s="5"/>
      <c r="EA27" s="31">
        <f>EA23+EA25</f>
        <v>1429291.1200000187</v>
      </c>
      <c r="EB27" s="5"/>
      <c r="EC27" s="31">
        <f>EC23+EC25</f>
        <v>-746184.28000000503</v>
      </c>
      <c r="ED27" s="5"/>
      <c r="EE27" s="31">
        <f>EE23+EE25</f>
        <v>-115139.73999999568</v>
      </c>
      <c r="EF27" s="5"/>
      <c r="EG27" s="31">
        <f>EG23+EG25</f>
        <v>883756.3600000015</v>
      </c>
      <c r="EH27" s="5"/>
      <c r="EI27" s="31">
        <f>EI23+EI25</f>
        <v>1667568.3599999999</v>
      </c>
      <c r="EJ27" s="5"/>
      <c r="EK27" s="31">
        <f>EK23+EK25</f>
        <v>-1777027.7600000007</v>
      </c>
      <c r="EL27" s="5"/>
      <c r="EM27" s="31">
        <f>EM23+EM25</f>
        <v>1350927.9200000002</v>
      </c>
      <c r="EN27" s="5"/>
      <c r="EO27" s="31">
        <f>EO23+EO25</f>
        <v>3135994.9800000009</v>
      </c>
      <c r="EP27" s="5"/>
      <c r="EQ27" s="31">
        <f>EQ23+EQ25</f>
        <v>2148223.1999999913</v>
      </c>
      <c r="ER27" s="5"/>
      <c r="ES27" s="31">
        <f>ES23+ES25</f>
        <v>337773.37999999226</v>
      </c>
      <c r="ET27" s="5"/>
      <c r="EU27" s="31">
        <f>EU23+EU25</f>
        <v>1477546.5500000047</v>
      </c>
      <c r="EV27" s="5"/>
      <c r="EW27" s="31">
        <f>EW23+EW25</f>
        <v>1436802.6300000034</v>
      </c>
      <c r="EX27" s="5"/>
      <c r="EY27" s="31">
        <f>EY23+EY25</f>
        <v>-748875.81000000262</v>
      </c>
      <c r="EZ27" s="5"/>
      <c r="FA27" s="31">
        <f>FA23+FA25</f>
        <v>-263985.5799999939</v>
      </c>
      <c r="FB27" s="5"/>
      <c r="FC27" s="31">
        <f>FC23+FC25</f>
        <v>719266.56000000075</v>
      </c>
      <c r="FD27" s="5"/>
      <c r="FE27" s="31">
        <f>FE23+FE25</f>
        <v>8080416.2299999911</v>
      </c>
      <c r="FF27" s="5"/>
      <c r="FG27" s="31">
        <f>FG23+FG25</f>
        <v>-836502.47000000672</v>
      </c>
      <c r="FH27" s="5"/>
      <c r="FI27" s="31">
        <f>FI23+FI25</f>
        <v>-940395.72999999765</v>
      </c>
      <c r="FJ27" s="5"/>
      <c r="FK27" s="31">
        <f>FK23+FK25</f>
        <v>-239013.04999999842</v>
      </c>
      <c r="FL27" s="5"/>
      <c r="FM27" s="31">
        <f>FM23+FM25</f>
        <v>2706269.0099999919</v>
      </c>
      <c r="FN27" s="5"/>
      <c r="FO27" s="31">
        <f>FO23+FO25</f>
        <v>-434377.04000000004</v>
      </c>
      <c r="FP27" s="5"/>
      <c r="FQ27" s="31">
        <f>FQ23+FQ25</f>
        <v>-176287.48999999862</v>
      </c>
      <c r="FR27" s="5"/>
      <c r="FS27" s="31">
        <f>FS23+FS25</f>
        <v>-298660.61</v>
      </c>
      <c r="FT27" s="5"/>
      <c r="FU27" s="31">
        <f>FU23+FU25</f>
        <v>3089000.4299999978</v>
      </c>
      <c r="FV27" s="5"/>
      <c r="FW27" s="31">
        <f>FW23+FW25</f>
        <v>-107986.39000000051</v>
      </c>
      <c r="FX27" s="5"/>
      <c r="FY27" s="31">
        <f>FY23+FY25</f>
        <v>-862012.58000000031</v>
      </c>
      <c r="FZ27" s="5"/>
      <c r="GA27" s="31">
        <f>GA23+GA25</f>
        <v>-781618.60999999871</v>
      </c>
      <c r="GB27" s="5"/>
      <c r="GC27" s="31">
        <f>GC23+GC25</f>
        <v>643125.26000000047</v>
      </c>
      <c r="GD27" s="5"/>
      <c r="GE27" s="31">
        <f>GE23+GE25</f>
        <v>2229790.4900000044</v>
      </c>
      <c r="GF27" s="5"/>
      <c r="GG27" s="31">
        <f>GG23+GG25</f>
        <v>-2800355.55</v>
      </c>
      <c r="GH27" s="5"/>
      <c r="GI27" s="31">
        <f>GI23+GI25</f>
        <v>-838559.30999999947</v>
      </c>
      <c r="GJ27" s="5"/>
      <c r="GK27" s="31">
        <f>GK23+GK25</f>
        <v>1835461.3015476256</v>
      </c>
      <c r="GL27" s="5"/>
      <c r="GM27" s="31">
        <f>GM23+GM25</f>
        <v>-286322.50457603601</v>
      </c>
      <c r="GN27" s="5"/>
      <c r="GO27" s="31">
        <f>GO23+GO25</f>
        <v>235500.76226282422</v>
      </c>
      <c r="GP27" s="5"/>
      <c r="GQ27" s="31">
        <f>GQ23+GQ25</f>
        <v>-742152.96923441545</v>
      </c>
      <c r="GR27" s="5"/>
      <c r="GS27" s="31">
        <f>GS23+GS25</f>
        <v>3018942.6905314974</v>
      </c>
      <c r="GT27" s="5"/>
      <c r="GU27" s="31">
        <f>GU23+GU25</f>
        <v>1534872.7777395467</v>
      </c>
    </row>
    <row r="28" spans="1:203">
      <c r="A28" s="26"/>
      <c r="C28" s="29"/>
      <c r="E28" s="29"/>
      <c r="G28" s="29"/>
      <c r="I28" s="29"/>
      <c r="K28" s="29"/>
      <c r="M28" s="29"/>
      <c r="O28" s="29"/>
      <c r="Q28" s="29"/>
      <c r="S28" s="29"/>
      <c r="U28" s="29"/>
      <c r="W28" s="29"/>
      <c r="Y28" s="29"/>
      <c r="AA28" s="29"/>
      <c r="AC28" s="29"/>
      <c r="AE28" s="29"/>
      <c r="AG28" s="29"/>
      <c r="AI28" s="29"/>
      <c r="AK28" s="29"/>
      <c r="AM28" s="29"/>
      <c r="AO28" s="29"/>
      <c r="AQ28" s="29"/>
      <c r="AS28" s="29"/>
      <c r="AU28" s="29"/>
      <c r="AW28" s="29"/>
      <c r="AY28" s="29"/>
      <c r="BA28" s="29"/>
      <c r="BC28" s="29"/>
      <c r="BE28" s="29"/>
      <c r="BG28" s="29"/>
      <c r="BI28" s="29"/>
      <c r="BK28" s="29"/>
      <c r="BM28" s="29"/>
      <c r="BO28" s="29"/>
      <c r="BQ28" s="29"/>
      <c r="BS28" s="29"/>
      <c r="BU28" s="29"/>
      <c r="BW28" s="29"/>
      <c r="BY28" s="29"/>
      <c r="CA28" s="29"/>
      <c r="CC28" s="29"/>
      <c r="CE28" s="29"/>
      <c r="CG28" s="29"/>
      <c r="CI28" s="29"/>
      <c r="CK28" s="29"/>
      <c r="CM28" s="29"/>
      <c r="CO28" s="29"/>
      <c r="CQ28" s="29"/>
      <c r="CS28" s="29"/>
      <c r="CU28" s="29"/>
      <c r="CW28" s="29"/>
      <c r="CY28" s="29"/>
      <c r="DA28" s="29"/>
      <c r="DB28" s="79"/>
      <c r="DC28" s="29"/>
      <c r="DD28" s="5"/>
      <c r="DE28" s="29"/>
      <c r="DF28" s="5"/>
      <c r="DG28" s="29"/>
      <c r="DH28" s="5"/>
      <c r="DI28" s="29"/>
      <c r="DJ28" s="5"/>
      <c r="DK28" s="29"/>
      <c r="DL28" s="5"/>
      <c r="DM28" s="29"/>
      <c r="DN28" s="5"/>
      <c r="DO28" s="29"/>
      <c r="DP28" s="5"/>
      <c r="DQ28" s="29"/>
      <c r="DR28" s="5"/>
      <c r="DS28" s="29"/>
      <c r="DT28" s="5"/>
      <c r="DU28" s="29"/>
      <c r="DV28" s="5"/>
      <c r="DW28" s="29"/>
      <c r="DX28" s="5"/>
      <c r="DY28" s="29"/>
      <c r="DZ28" s="5"/>
      <c r="EA28" s="29"/>
      <c r="EB28" s="5"/>
      <c r="EC28" s="29"/>
      <c r="ED28" s="5"/>
      <c r="EE28" s="29"/>
      <c r="EF28" s="5"/>
      <c r="EG28" s="29"/>
      <c r="EH28" s="5"/>
      <c r="EI28" s="29"/>
      <c r="EJ28" s="5"/>
      <c r="EK28" s="29"/>
      <c r="EL28" s="5"/>
      <c r="EM28" s="29"/>
      <c r="EN28" s="5"/>
      <c r="EO28" s="29"/>
      <c r="EP28" s="5"/>
      <c r="EQ28" s="29"/>
      <c r="ER28" s="5"/>
      <c r="ES28" s="29"/>
      <c r="ET28" s="5"/>
      <c r="EU28" s="29"/>
      <c r="EV28" s="5"/>
      <c r="EW28" s="29"/>
      <c r="EX28" s="5"/>
      <c r="EY28" s="29"/>
      <c r="EZ28" s="5"/>
      <c r="FA28" s="29"/>
      <c r="FB28" s="5"/>
      <c r="FC28" s="29"/>
      <c r="FD28" s="5"/>
      <c r="FE28" s="29"/>
      <c r="FF28" s="5"/>
      <c r="FG28" s="29"/>
      <c r="FH28" s="5"/>
      <c r="FI28" s="29"/>
      <c r="FJ28" s="5"/>
      <c r="FK28" s="29"/>
      <c r="FL28" s="5"/>
      <c r="FM28" s="29"/>
      <c r="FN28" s="5"/>
      <c r="FO28" s="29"/>
      <c r="FP28" s="5"/>
      <c r="FQ28" s="29"/>
      <c r="FR28" s="5"/>
      <c r="FS28" s="29"/>
      <c r="FT28" s="5"/>
      <c r="FU28" s="29"/>
      <c r="FV28" s="5"/>
      <c r="FW28" s="29"/>
      <c r="FX28" s="5"/>
      <c r="FY28" s="29"/>
      <c r="FZ28" s="5"/>
      <c r="GA28" s="29"/>
      <c r="GB28" s="5"/>
      <c r="GC28" s="29"/>
      <c r="GD28" s="5"/>
      <c r="GE28" s="29"/>
      <c r="GF28" s="5"/>
      <c r="GG28" s="29"/>
      <c r="GH28" s="5"/>
      <c r="GI28" s="29"/>
      <c r="GJ28" s="5"/>
      <c r="GK28" s="29"/>
      <c r="GL28" s="5"/>
      <c r="GM28" s="29"/>
      <c r="GN28" s="5"/>
      <c r="GO28" s="29"/>
      <c r="GP28" s="5"/>
      <c r="GQ28" s="29"/>
      <c r="GR28" s="5"/>
      <c r="GS28" s="29"/>
      <c r="GT28" s="5"/>
      <c r="GU28" s="29"/>
    </row>
    <row r="29" spans="1:203">
      <c r="A29" s="25" t="s">
        <v>73</v>
      </c>
      <c r="C29" s="29"/>
      <c r="E29" s="29"/>
      <c r="G29" s="29"/>
      <c r="I29" s="29"/>
      <c r="K29" s="29"/>
      <c r="M29" s="29"/>
      <c r="O29" s="29"/>
      <c r="Q29" s="29"/>
      <c r="S29" s="29"/>
      <c r="U29" s="29"/>
      <c r="W29" s="29"/>
      <c r="Y29" s="29"/>
      <c r="AA29" s="29"/>
      <c r="AC29" s="29"/>
      <c r="AE29" s="29"/>
      <c r="AG29" s="29"/>
      <c r="AI29" s="29"/>
      <c r="AK29" s="29"/>
      <c r="AM29" s="29"/>
      <c r="AO29" s="29"/>
      <c r="AQ29" s="29"/>
      <c r="AS29" s="29"/>
      <c r="AU29" s="29"/>
      <c r="AW29" s="29"/>
      <c r="AY29" s="29"/>
      <c r="BA29" s="29"/>
      <c r="BC29" s="29"/>
      <c r="BE29" s="29"/>
      <c r="BG29" s="29"/>
      <c r="BI29" s="29"/>
      <c r="BK29" s="29"/>
      <c r="BM29" s="29"/>
      <c r="BO29" s="29"/>
      <c r="BQ29" s="29"/>
      <c r="BS29" s="29"/>
      <c r="BU29" s="29"/>
      <c r="BW29" s="29"/>
      <c r="BY29" s="29"/>
      <c r="CA29" s="29"/>
      <c r="CC29" s="29"/>
      <c r="CE29" s="29"/>
      <c r="CG29" s="29"/>
      <c r="CI29" s="29"/>
      <c r="CK29" s="29"/>
      <c r="CM29" s="29"/>
      <c r="CO29" s="29"/>
      <c r="CQ29" s="29"/>
      <c r="CS29" s="29"/>
      <c r="CU29" s="29"/>
      <c r="CW29" s="29"/>
      <c r="CY29" s="29"/>
      <c r="DA29" s="29"/>
      <c r="DB29" s="78"/>
      <c r="DC29" s="29"/>
      <c r="DD29" s="5"/>
      <c r="DE29" s="29"/>
      <c r="DF29" s="5"/>
      <c r="DG29" s="29"/>
      <c r="DH29" s="5"/>
      <c r="DI29" s="29"/>
      <c r="DJ29" s="5"/>
      <c r="DK29" s="29"/>
      <c r="DL29" s="5"/>
      <c r="DM29" s="29"/>
      <c r="DN29" s="5"/>
      <c r="DO29" s="29"/>
      <c r="DP29" s="5"/>
      <c r="DQ29" s="29"/>
      <c r="DR29" s="5"/>
      <c r="DS29" s="29"/>
      <c r="DT29" s="5"/>
      <c r="DU29" s="29"/>
      <c r="DV29" s="5"/>
      <c r="DW29" s="29"/>
      <c r="DX29" s="5"/>
      <c r="DY29" s="29"/>
      <c r="DZ29" s="5"/>
      <c r="EA29" s="29"/>
      <c r="EB29" s="5"/>
      <c r="EC29" s="29"/>
      <c r="ED29" s="5"/>
      <c r="EE29" s="29"/>
      <c r="EF29" s="5"/>
      <c r="EG29" s="29"/>
      <c r="EH29" s="5"/>
      <c r="EI29" s="29"/>
      <c r="EJ29" s="5"/>
      <c r="EK29" s="29"/>
      <c r="EL29" s="5"/>
      <c r="EM29" s="29"/>
      <c r="EN29" s="5"/>
      <c r="EO29" s="29"/>
      <c r="EP29" s="5"/>
      <c r="EQ29" s="29"/>
      <c r="ER29" s="5"/>
      <c r="ES29" s="29"/>
      <c r="ET29" s="5"/>
      <c r="EU29" s="29"/>
      <c r="EV29" s="5"/>
      <c r="EW29" s="29"/>
      <c r="EX29" s="5"/>
      <c r="EY29" s="29"/>
      <c r="EZ29" s="5"/>
      <c r="FA29" s="29"/>
      <c r="FB29" s="5"/>
      <c r="FC29" s="29"/>
      <c r="FD29" s="5"/>
      <c r="FE29" s="29"/>
      <c r="FF29" s="5"/>
      <c r="FG29" s="29"/>
      <c r="FH29" s="5"/>
      <c r="FI29" s="29"/>
      <c r="FJ29" s="5"/>
      <c r="FK29" s="29"/>
      <c r="FL29" s="5"/>
      <c r="FM29" s="29"/>
      <c r="FN29" s="5"/>
      <c r="FO29" s="29"/>
      <c r="FP29" s="5"/>
      <c r="FQ29" s="29"/>
      <c r="FR29" s="5"/>
      <c r="FS29" s="29"/>
      <c r="FT29" s="5"/>
      <c r="FU29" s="29"/>
      <c r="FV29" s="5"/>
      <c r="FW29" s="29"/>
      <c r="FX29" s="5"/>
      <c r="FY29" s="29"/>
      <c r="FZ29" s="5"/>
      <c r="GA29" s="29"/>
      <c r="GB29" s="5"/>
      <c r="GC29" s="29"/>
      <c r="GD29" s="5"/>
      <c r="GE29" s="29"/>
      <c r="GF29" s="5"/>
      <c r="GG29" s="29"/>
      <c r="GH29" s="5"/>
      <c r="GI29" s="29"/>
      <c r="GJ29" s="5"/>
      <c r="GK29" s="29"/>
      <c r="GL29" s="5"/>
      <c r="GM29" s="29"/>
      <c r="GN29" s="5"/>
      <c r="GO29" s="29"/>
      <c r="GP29" s="5"/>
      <c r="GQ29" s="29"/>
      <c r="GR29" s="5"/>
      <c r="GS29" s="29"/>
      <c r="GT29" s="5"/>
      <c r="GU29" s="29"/>
    </row>
    <row r="30" spans="1:203">
      <c r="A30" s="26" t="s">
        <v>74</v>
      </c>
      <c r="C30" s="29"/>
      <c r="E30" s="29"/>
      <c r="G30" s="29"/>
      <c r="I30" s="29"/>
      <c r="K30" s="29"/>
      <c r="M30" s="29"/>
      <c r="O30" s="29"/>
      <c r="Q30" s="29"/>
      <c r="S30" s="29"/>
      <c r="U30" s="29"/>
      <c r="W30" s="29"/>
      <c r="Y30" s="29"/>
      <c r="AA30" s="29">
        <v>0</v>
      </c>
      <c r="AC30" s="29">
        <v>0</v>
      </c>
      <c r="AE30" s="29">
        <v>0</v>
      </c>
      <c r="AG30" s="29">
        <v>0</v>
      </c>
      <c r="AI30" s="29">
        <v>0</v>
      </c>
      <c r="AK30" s="29">
        <v>0</v>
      </c>
      <c r="AM30" s="29">
        <v>0</v>
      </c>
      <c r="AO30" s="29">
        <v>0</v>
      </c>
      <c r="AQ30" s="29">
        <v>0</v>
      </c>
      <c r="AS30" s="29">
        <v>0</v>
      </c>
      <c r="AU30" s="29">
        <v>0</v>
      </c>
      <c r="AW30" s="29"/>
      <c r="AY30" s="29"/>
      <c r="BA30" s="29"/>
      <c r="BC30" s="29"/>
      <c r="BE30" s="29"/>
      <c r="BG30" s="29"/>
      <c r="BI30" s="29"/>
      <c r="BK30" s="29"/>
      <c r="BM30" s="29"/>
      <c r="BO30" s="29"/>
      <c r="BQ30" s="29"/>
      <c r="BS30" s="29"/>
      <c r="BU30" s="29"/>
      <c r="BW30" s="29"/>
      <c r="BY30" s="29"/>
      <c r="CA30" s="29"/>
      <c r="CC30" s="29"/>
      <c r="CE30" s="29"/>
      <c r="CG30" s="29"/>
      <c r="CI30" s="29"/>
      <c r="CK30" s="29"/>
      <c r="CM30" s="29">
        <v>0</v>
      </c>
      <c r="CO30" s="29">
        <v>0</v>
      </c>
      <c r="CQ30" s="29">
        <v>0</v>
      </c>
      <c r="CS30" s="29">
        <v>0</v>
      </c>
      <c r="CU30" s="29">
        <v>0</v>
      </c>
      <c r="CW30" s="29">
        <v>0</v>
      </c>
      <c r="CY30" s="5">
        <v>0</v>
      </c>
      <c r="DA30" s="5">
        <v>0</v>
      </c>
      <c r="DB30" s="78"/>
      <c r="DC30" s="29"/>
      <c r="DD30" s="5"/>
      <c r="DE30" s="29"/>
      <c r="DF30" s="5"/>
      <c r="DG30" s="29"/>
      <c r="DH30" s="5"/>
      <c r="DI30" s="29"/>
      <c r="DJ30" s="5"/>
      <c r="DK30" s="29"/>
      <c r="DL30" s="5"/>
      <c r="DM30" s="29"/>
      <c r="DN30" s="5"/>
      <c r="DO30" s="29"/>
      <c r="DP30" s="5"/>
      <c r="DQ30" s="29"/>
      <c r="DR30" s="5"/>
      <c r="DS30" s="29">
        <f>S30-U30</f>
        <v>0</v>
      </c>
      <c r="DT30" s="5"/>
      <c r="DU30" s="29">
        <f>U30-W30</f>
        <v>0</v>
      </c>
      <c r="DV30" s="5"/>
      <c r="DW30" s="29">
        <f>W30-Y30</f>
        <v>0</v>
      </c>
      <c r="DX30" s="5"/>
      <c r="DY30" s="29">
        <f>Y30</f>
        <v>0</v>
      </c>
      <c r="DZ30" s="5"/>
      <c r="EA30" s="29">
        <f>AA30-AC30</f>
        <v>0</v>
      </c>
      <c r="EB30" s="5"/>
      <c r="EC30" s="29">
        <f>AC30-AE30</f>
        <v>0</v>
      </c>
      <c r="ED30" s="5"/>
      <c r="EE30" s="29">
        <f>AE30-AG30</f>
        <v>0</v>
      </c>
      <c r="EF30" s="5"/>
      <c r="EG30" s="29">
        <f>AG30</f>
        <v>0</v>
      </c>
      <c r="EH30" s="5"/>
      <c r="EI30" s="29">
        <f>AI30-AK30</f>
        <v>0</v>
      </c>
      <c r="EJ30" s="5"/>
      <c r="EK30" s="29">
        <f>AK30-AM30</f>
        <v>0</v>
      </c>
      <c r="EL30" s="5"/>
      <c r="EM30" s="29">
        <f>AM30-AO30</f>
        <v>0</v>
      </c>
      <c r="EN30" s="5"/>
      <c r="EO30" s="29">
        <f>AO30</f>
        <v>0</v>
      </c>
      <c r="EP30" s="5"/>
      <c r="EQ30" s="29">
        <f>AQ30-AS30</f>
        <v>0</v>
      </c>
      <c r="ER30" s="5"/>
      <c r="ES30" s="29">
        <f>AS30-AU30</f>
        <v>0</v>
      </c>
      <c r="ET30" s="5"/>
      <c r="EU30" s="29">
        <f>AU30-AW30</f>
        <v>0</v>
      </c>
      <c r="EV30" s="5"/>
      <c r="EW30" s="29">
        <f t="shared" ref="EW30" si="42">AW30</f>
        <v>0</v>
      </c>
      <c r="EX30" s="5"/>
      <c r="EY30" s="29">
        <f>AY30-BA30</f>
        <v>0</v>
      </c>
      <c r="EZ30" s="5"/>
      <c r="FA30" s="29">
        <f>BA30-BC30</f>
        <v>0</v>
      </c>
      <c r="FB30" s="5"/>
      <c r="FC30" s="29">
        <f>BC30-BE30</f>
        <v>0</v>
      </c>
      <c r="FD30" s="5"/>
      <c r="FE30" s="29">
        <f t="shared" ref="FE30" si="43">BE30</f>
        <v>0</v>
      </c>
      <c r="FF30" s="5"/>
      <c r="FG30" s="29">
        <f>BG30-BI30</f>
        <v>0</v>
      </c>
      <c r="FH30" s="5"/>
      <c r="FI30" s="29">
        <f>BI30-BK30</f>
        <v>0</v>
      </c>
      <c r="FJ30" s="5"/>
      <c r="FK30" s="29">
        <f>BK30-BM30</f>
        <v>0</v>
      </c>
      <c r="FL30" s="5"/>
      <c r="FM30" s="29">
        <f>BM30-BO30</f>
        <v>0</v>
      </c>
      <c r="FN30" s="5"/>
      <c r="FO30" s="29">
        <f>BO30-BQ30</f>
        <v>0</v>
      </c>
      <c r="FP30" s="5"/>
      <c r="FQ30" s="29">
        <f>BQ30-BS30</f>
        <v>0</v>
      </c>
      <c r="FR30" s="5"/>
      <c r="FS30" s="29">
        <f>BS30</f>
        <v>0</v>
      </c>
      <c r="FT30" s="5"/>
      <c r="FU30" s="29">
        <f>BU30-BW30</f>
        <v>0</v>
      </c>
      <c r="FV30" s="5"/>
      <c r="FW30" s="29">
        <f>BW30-BY30</f>
        <v>0</v>
      </c>
      <c r="FX30" s="5"/>
      <c r="FY30" s="29">
        <f>BY30-CA30</f>
        <v>0</v>
      </c>
      <c r="FZ30" s="5"/>
      <c r="GA30" s="29">
        <f>CA30</f>
        <v>0</v>
      </c>
      <c r="GB30" s="5"/>
      <c r="GC30" s="29">
        <f>CC30-CE30</f>
        <v>0</v>
      </c>
      <c r="GD30" s="5"/>
      <c r="GE30" s="29">
        <f>CE30-CG30</f>
        <v>0</v>
      </c>
      <c r="GF30" s="5"/>
      <c r="GG30" s="29">
        <f>CG30-CI30</f>
        <v>0</v>
      </c>
      <c r="GH30" s="5"/>
      <c r="GI30" s="29">
        <f>CI30</f>
        <v>0</v>
      </c>
      <c r="GJ30" s="5"/>
      <c r="GK30" s="29">
        <f>CK30-CM30</f>
        <v>0</v>
      </c>
      <c r="GL30" s="5"/>
      <c r="GM30" s="29">
        <f>CM30-CO30</f>
        <v>0</v>
      </c>
      <c r="GN30" s="5"/>
      <c r="GO30" s="29">
        <f>CO30-CQ30</f>
        <v>0</v>
      </c>
      <c r="GP30" s="5"/>
      <c r="GQ30" s="29">
        <f>CQ30</f>
        <v>0</v>
      </c>
      <c r="GR30" s="5"/>
      <c r="GS30" s="29"/>
      <c r="GT30" s="5"/>
      <c r="GU30" s="29">
        <f>CU30-CW30</f>
        <v>0</v>
      </c>
    </row>
    <row r="31" spans="1:203">
      <c r="A31" s="26"/>
      <c r="C31" s="29"/>
      <c r="E31" s="29"/>
      <c r="G31" s="29"/>
      <c r="I31" s="29"/>
      <c r="K31" s="29"/>
      <c r="M31" s="29"/>
      <c r="O31" s="29"/>
      <c r="Q31" s="29"/>
      <c r="S31" s="29"/>
      <c r="U31" s="29"/>
      <c r="W31" s="29"/>
      <c r="Y31" s="29"/>
      <c r="AA31" s="29"/>
      <c r="AC31" s="29"/>
      <c r="AE31" s="29"/>
      <c r="AG31" s="29"/>
      <c r="AI31" s="29"/>
      <c r="AK31" s="29"/>
      <c r="AM31" s="29"/>
      <c r="AO31" s="29"/>
      <c r="AQ31" s="29"/>
      <c r="AS31" s="29"/>
      <c r="AU31" s="29"/>
      <c r="AW31" s="29"/>
      <c r="AY31" s="29"/>
      <c r="BA31" s="29"/>
      <c r="BC31" s="29"/>
      <c r="BE31" s="29"/>
      <c r="BG31" s="29"/>
      <c r="BI31" s="29"/>
      <c r="BK31" s="29"/>
      <c r="BM31" s="29"/>
      <c r="BO31" s="29"/>
      <c r="BQ31" s="29"/>
      <c r="BS31" s="29"/>
      <c r="BU31" s="29"/>
      <c r="BW31" s="29"/>
      <c r="BY31" s="29"/>
      <c r="CA31" s="29"/>
      <c r="CC31" s="29"/>
      <c r="CE31" s="29"/>
      <c r="CG31" s="29"/>
      <c r="CI31" s="29"/>
      <c r="CK31" s="29"/>
      <c r="CM31" s="29"/>
      <c r="CO31" s="29"/>
      <c r="CQ31" s="29"/>
      <c r="CS31" s="29"/>
      <c r="CU31" s="29"/>
      <c r="CW31" s="29"/>
      <c r="CY31" s="29"/>
      <c r="DA31" s="29"/>
      <c r="DB31" s="75"/>
      <c r="DC31" s="29"/>
      <c r="DD31" s="5"/>
      <c r="DE31" s="29"/>
      <c r="DF31" s="5"/>
      <c r="DG31" s="29"/>
      <c r="DH31" s="5"/>
      <c r="DI31" s="29"/>
      <c r="DJ31" s="5"/>
      <c r="DK31" s="29"/>
      <c r="DL31" s="5"/>
      <c r="DM31" s="29"/>
      <c r="DN31" s="5"/>
      <c r="DO31" s="29"/>
      <c r="DP31" s="5"/>
      <c r="DQ31" s="29"/>
      <c r="DR31" s="5"/>
      <c r="DS31" s="29"/>
      <c r="DT31" s="5"/>
      <c r="DU31" s="29"/>
      <c r="DV31" s="5"/>
      <c r="DW31" s="29"/>
      <c r="DX31" s="5"/>
      <c r="DY31" s="29"/>
      <c r="DZ31" s="5"/>
      <c r="EA31" s="29"/>
      <c r="EB31" s="5"/>
      <c r="EC31" s="29"/>
      <c r="ED31" s="5"/>
      <c r="EE31" s="29"/>
      <c r="EF31" s="5"/>
      <c r="EG31" s="29"/>
      <c r="EH31" s="5"/>
      <c r="EI31" s="29"/>
      <c r="EJ31" s="5"/>
      <c r="EK31" s="29"/>
      <c r="EL31" s="5"/>
      <c r="EM31" s="29"/>
      <c r="EN31" s="5"/>
      <c r="EO31" s="29"/>
      <c r="EP31" s="5"/>
      <c r="EQ31" s="29"/>
      <c r="ER31" s="5"/>
      <c r="ES31" s="29"/>
      <c r="ET31" s="5"/>
      <c r="EU31" s="29"/>
      <c r="EV31" s="5"/>
      <c r="EW31" s="29"/>
      <c r="EX31" s="5"/>
      <c r="EY31" s="29"/>
      <c r="EZ31" s="5"/>
      <c r="FA31" s="29"/>
      <c r="FB31" s="5"/>
      <c r="FC31" s="29"/>
      <c r="FD31" s="5"/>
      <c r="FE31" s="29"/>
      <c r="FF31" s="5"/>
      <c r="FG31" s="29"/>
      <c r="FH31" s="5"/>
      <c r="FI31" s="29"/>
      <c r="FJ31" s="5"/>
      <c r="FK31" s="29"/>
      <c r="FL31" s="5"/>
      <c r="FM31" s="29"/>
      <c r="FN31" s="5"/>
      <c r="FO31" s="29"/>
      <c r="FP31" s="5"/>
      <c r="FQ31" s="29"/>
      <c r="FR31" s="5"/>
      <c r="FS31" s="29"/>
      <c r="FT31" s="5"/>
      <c r="FU31" s="29"/>
      <c r="FV31" s="5"/>
      <c r="FW31" s="29"/>
      <c r="FX31" s="5"/>
      <c r="FY31" s="29"/>
      <c r="FZ31" s="5"/>
      <c r="GA31" s="29"/>
      <c r="GB31" s="5"/>
      <c r="GC31" s="29"/>
      <c r="GD31" s="5"/>
      <c r="GE31" s="29"/>
      <c r="GF31" s="5"/>
      <c r="GG31" s="29"/>
      <c r="GH31" s="5"/>
      <c r="GI31" s="29"/>
      <c r="GJ31" s="5"/>
      <c r="GK31" s="29"/>
      <c r="GL31" s="5"/>
      <c r="GM31" s="29"/>
      <c r="GN31" s="5"/>
      <c r="GO31" s="29"/>
      <c r="GP31" s="5"/>
      <c r="GQ31" s="29"/>
      <c r="GR31" s="5"/>
      <c r="GS31" s="29"/>
      <c r="GT31" s="5"/>
      <c r="GU31" s="29"/>
    </row>
    <row r="32" spans="1:203" ht="13" thickBot="1">
      <c r="A32" s="25" t="s">
        <v>75</v>
      </c>
      <c r="C32" s="34"/>
      <c r="E32" s="34"/>
      <c r="G32" s="34"/>
      <c r="I32" s="34">
        <f>I27+I30</f>
        <v>27773582.100000009</v>
      </c>
      <c r="K32" s="34">
        <f>K27+K30</f>
        <v>77523369.929999962</v>
      </c>
      <c r="M32" s="34">
        <f>M27+M30</f>
        <v>59591083.960000008</v>
      </c>
      <c r="O32" s="34">
        <f>O27+O30</f>
        <v>52702027.670000017</v>
      </c>
      <c r="Q32" s="34">
        <f>Q27+Q30</f>
        <v>23988700.339999996</v>
      </c>
      <c r="S32" s="34">
        <f>S27+S30</f>
        <v>25926416.099999987</v>
      </c>
      <c r="U32" s="34">
        <f>U27+U30</f>
        <v>16948747.740000021</v>
      </c>
      <c r="W32" s="34">
        <f>W27+W30</f>
        <v>11855457.070000008</v>
      </c>
      <c r="Y32" s="34">
        <f>Y27+Y30</f>
        <v>11640838.140000014</v>
      </c>
      <c r="AA32" s="34">
        <f>AA27+AA30</f>
        <v>1451723.460000027</v>
      </c>
      <c r="AC32" s="34">
        <f>AC27+AC30</f>
        <v>22432.339999993565</v>
      </c>
      <c r="AE32" s="34">
        <f>AE27+AE30</f>
        <v>768616.62000000593</v>
      </c>
      <c r="AG32" s="34">
        <f>AG27+AG30</f>
        <v>883756.3600000015</v>
      </c>
      <c r="AI32" s="34">
        <f>AI27+AI30</f>
        <v>4377463.4999999963</v>
      </c>
      <c r="AK32" s="34">
        <f>AK27+AK30</f>
        <v>2709895.1400000043</v>
      </c>
      <c r="AM32" s="34">
        <f>AM27+AM30</f>
        <v>4486922.9000000013</v>
      </c>
      <c r="AO32" s="34">
        <f>AO27+AO30</f>
        <v>3135994.9800000009</v>
      </c>
      <c r="AQ32" s="34">
        <f>AQ27+AQ30</f>
        <v>5400345.7600000035</v>
      </c>
      <c r="AS32" s="34">
        <f>AS27+AS30</f>
        <v>3252122.5599999893</v>
      </c>
      <c r="AU32" s="34">
        <f>AU27+AU30</f>
        <v>2914349.1800000118</v>
      </c>
      <c r="AW32" s="34">
        <f>AW27+AW30</f>
        <v>1436802.6300000034</v>
      </c>
      <c r="AY32" s="34">
        <f>AY27+AY30</f>
        <v>7786821.4000000143</v>
      </c>
      <c r="BA32" s="34">
        <f>BA27+BA30</f>
        <v>8535697.2100000121</v>
      </c>
      <c r="BC32" s="34">
        <f>BC27+BC30</f>
        <v>8799682.7899999786</v>
      </c>
      <c r="BE32" s="34">
        <f>BE27+BE30</f>
        <v>8080416.2299999911</v>
      </c>
      <c r="BG32" s="34">
        <f>BG27+BG30</f>
        <v>-2461817.6600000029</v>
      </c>
      <c r="BI32" s="34">
        <f>BI27+BI30</f>
        <v>617535.09000000579</v>
      </c>
      <c r="BK32" s="34">
        <f>BK27+BK30</f>
        <v>1557930.8199999977</v>
      </c>
      <c r="BM32" s="34">
        <f>BM27+BM30</f>
        <v>1796943.8699999894</v>
      </c>
      <c r="BO32" s="34">
        <f>BO27+BO30</f>
        <v>-909325.13999999873</v>
      </c>
      <c r="BQ32" s="34">
        <f>BQ27+BQ30</f>
        <v>-474948.0999999987</v>
      </c>
      <c r="BS32" s="34">
        <f>BS27+BS30</f>
        <v>-298660.61</v>
      </c>
      <c r="BU32" s="34">
        <f>BU27+BU30</f>
        <v>1337382.8499999968</v>
      </c>
      <c r="BW32" s="34">
        <f>BW27+BW30</f>
        <v>-1751617.5800000015</v>
      </c>
      <c r="BY32" s="34">
        <f>BY27+BY30</f>
        <v>-1643631.1899999972</v>
      </c>
      <c r="CA32" s="34">
        <f>CA27+CA30</f>
        <v>-781618.60999999871</v>
      </c>
      <c r="CC32" s="34">
        <f>CC27+CC30</f>
        <v>-765999.10999999649</v>
      </c>
      <c r="CE32" s="34">
        <f>CE27+CE30</f>
        <v>-1409124.3700000006</v>
      </c>
      <c r="CG32" s="34">
        <f>CG27+CG30</f>
        <v>-3638914.8599999994</v>
      </c>
      <c r="CI32" s="34">
        <f>CI27+CI30</f>
        <v>-838559.30999999947</v>
      </c>
      <c r="CK32" s="34">
        <f>CK27+CK30</f>
        <v>1042486.5899999975</v>
      </c>
      <c r="CM32" s="34">
        <f>CM27+CM30</f>
        <v>-792974.71154762816</v>
      </c>
      <c r="CO32" s="34">
        <f>CO27+CO30</f>
        <v>-506652.20697158843</v>
      </c>
      <c r="CQ32" s="34">
        <f>CQ27+CQ30</f>
        <v>-742152.96923441545</v>
      </c>
      <c r="CS32" s="34">
        <f>CS27+CS30</f>
        <v>3292091.4594606524</v>
      </c>
      <c r="CU32" s="34">
        <f>CU27+CU30</f>
        <v>273148.76892915944</v>
      </c>
      <c r="CW32" s="34">
        <f>CW27+CW30</f>
        <v>-1261724.008810391</v>
      </c>
      <c r="CY32" s="34">
        <f>CY27+CY30</f>
        <v>837987.47488788958</v>
      </c>
      <c r="DA32" s="34">
        <f>DA27+DA30</f>
        <v>539523.6553733109</v>
      </c>
      <c r="DB32" s="75"/>
      <c r="DC32" s="34"/>
      <c r="DD32" s="5"/>
      <c r="DE32" s="34"/>
      <c r="DF32" s="5"/>
      <c r="DG32" s="34"/>
      <c r="DH32" s="5"/>
      <c r="DI32" s="34">
        <f>DI27+DI30</f>
        <v>27773582.100000009</v>
      </c>
      <c r="DJ32" s="5"/>
      <c r="DK32" s="34">
        <f>DK27+DK30</f>
        <v>17932285.970000014</v>
      </c>
      <c r="DL32" s="5"/>
      <c r="DM32" s="34">
        <f>DM27+DM30</f>
        <v>6889056.2900000215</v>
      </c>
      <c r="DN32" s="5"/>
      <c r="DO32" s="34">
        <f>DO27+DO30</f>
        <v>28713327.329999983</v>
      </c>
      <c r="DP32" s="5"/>
      <c r="DQ32" s="34">
        <f>DQ27+DQ30</f>
        <v>23988700.339999996</v>
      </c>
      <c r="DR32" s="5"/>
      <c r="DS32" s="34">
        <f>DS27+DS30</f>
        <v>8977668.3599999957</v>
      </c>
      <c r="DT32" s="5"/>
      <c r="DU32" s="34">
        <f>DU27+DU30</f>
        <v>5093290.6700000009</v>
      </c>
      <c r="DV32" s="5"/>
      <c r="DW32" s="34">
        <f>DW27+DW30</f>
        <v>214618.93000001041</v>
      </c>
      <c r="DX32" s="5"/>
      <c r="DY32" s="34">
        <f>DY27+DY30</f>
        <v>11640838.140000014</v>
      </c>
      <c r="DZ32" s="5"/>
      <c r="EA32" s="34">
        <f>EA27+EA30</f>
        <v>1429291.1200000187</v>
      </c>
      <c r="EB32" s="5"/>
      <c r="EC32" s="34">
        <f>EC27+EC30</f>
        <v>-746184.28000000503</v>
      </c>
      <c r="ED32" s="5"/>
      <c r="EE32" s="34">
        <f>EE27+EE30</f>
        <v>-115139.73999999568</v>
      </c>
      <c r="EF32" s="5"/>
      <c r="EG32" s="34">
        <f>EG27+EG30</f>
        <v>883756.3600000015</v>
      </c>
      <c r="EH32" s="5"/>
      <c r="EI32" s="34">
        <f>EI27+EI30</f>
        <v>1667568.3599999999</v>
      </c>
      <c r="EJ32" s="5"/>
      <c r="EK32" s="34">
        <f>EK27+EK30</f>
        <v>-1777027.7600000007</v>
      </c>
      <c r="EL32" s="5"/>
      <c r="EM32" s="34">
        <f>EM27+EM30</f>
        <v>1350927.9200000002</v>
      </c>
      <c r="EN32" s="5"/>
      <c r="EO32" s="34">
        <f>EO27+EO30</f>
        <v>3135994.9800000009</v>
      </c>
      <c r="EP32" s="5"/>
      <c r="EQ32" s="34">
        <f>EQ27+EQ30</f>
        <v>2148223.1999999913</v>
      </c>
      <c r="ER32" s="5"/>
      <c r="ES32" s="34">
        <f>ES27+ES30</f>
        <v>337773.37999999226</v>
      </c>
      <c r="ET32" s="5"/>
      <c r="EU32" s="34">
        <f>EU27+EU30</f>
        <v>1477546.5500000047</v>
      </c>
      <c r="EV32" s="5"/>
      <c r="EW32" s="34">
        <f>EW27+EW30</f>
        <v>1436802.6300000034</v>
      </c>
      <c r="EX32" s="5"/>
      <c r="EY32" s="34">
        <f>EY27+EY30</f>
        <v>-748875.81000000262</v>
      </c>
      <c r="EZ32" s="5"/>
      <c r="FA32" s="34">
        <f>FA27+FA30</f>
        <v>-263985.5799999939</v>
      </c>
      <c r="FB32" s="5"/>
      <c r="FC32" s="34">
        <f>FC27+FC30</f>
        <v>719266.56000000075</v>
      </c>
      <c r="FD32" s="5"/>
      <c r="FE32" s="34">
        <f>FE27+FE30</f>
        <v>8080416.2299999911</v>
      </c>
      <c r="FF32" s="5"/>
      <c r="FG32" s="34">
        <f>FG27+FG30</f>
        <v>-836502.47000000672</v>
      </c>
      <c r="FH32" s="5"/>
      <c r="FI32" s="34">
        <f>FI27+FI30</f>
        <v>-940395.72999999765</v>
      </c>
      <c r="FJ32" s="5"/>
      <c r="FK32" s="34">
        <f>FK27+FK30</f>
        <v>-239013.04999999842</v>
      </c>
      <c r="FL32" s="5"/>
      <c r="FM32" s="34">
        <f>FM27+FM30</f>
        <v>2706269.0099999919</v>
      </c>
      <c r="FN32" s="5"/>
      <c r="FO32" s="34">
        <f>FO27+FO30</f>
        <v>-434377.04000000004</v>
      </c>
      <c r="FP32" s="5"/>
      <c r="FQ32" s="34">
        <f>FQ27+FQ30</f>
        <v>-176287.48999999862</v>
      </c>
      <c r="FR32" s="5"/>
      <c r="FS32" s="34">
        <f>FS27+FS30</f>
        <v>-298660.61</v>
      </c>
      <c r="FT32" s="5"/>
      <c r="FU32" s="34">
        <f>FU27+FU30</f>
        <v>3089000.4299999978</v>
      </c>
      <c r="FV32" s="5"/>
      <c r="FW32" s="34">
        <f>FW27+FW30</f>
        <v>-107986.39000000051</v>
      </c>
      <c r="FX32" s="5"/>
      <c r="FY32" s="34">
        <f>FY27+FY30</f>
        <v>-862012.58000000031</v>
      </c>
      <c r="FZ32" s="5"/>
      <c r="GA32" s="34">
        <f>GA27+GA30</f>
        <v>-781618.60999999871</v>
      </c>
      <c r="GB32" s="5"/>
      <c r="GC32" s="34">
        <f>GC27+GC30</f>
        <v>643125.26000000047</v>
      </c>
      <c r="GD32" s="5"/>
      <c r="GE32" s="34">
        <f>GE27+GE30</f>
        <v>2229790.4900000044</v>
      </c>
      <c r="GF32" s="5"/>
      <c r="GG32" s="34">
        <f>GG27+GG30</f>
        <v>-2800355.55</v>
      </c>
      <c r="GH32" s="5"/>
      <c r="GI32" s="34">
        <f>GI27+GI30</f>
        <v>-838559.30999999947</v>
      </c>
      <c r="GJ32" s="5"/>
      <c r="GK32" s="34">
        <f>GK27+GK30</f>
        <v>1835461.3015476256</v>
      </c>
      <c r="GL32" s="5"/>
      <c r="GM32" s="34">
        <f>GM27+GM30</f>
        <v>-286322.50457603601</v>
      </c>
      <c r="GN32" s="5"/>
      <c r="GO32" s="34">
        <f>GO27+GO30</f>
        <v>235500.76226282422</v>
      </c>
      <c r="GP32" s="5"/>
      <c r="GQ32" s="34">
        <f>GQ27+GQ30</f>
        <v>-742152.96923441545</v>
      </c>
      <c r="GR32" s="5"/>
      <c r="GS32" s="34">
        <f>GS27+GS30</f>
        <v>3018942.6905314974</v>
      </c>
      <c r="GT32" s="5"/>
      <c r="GU32" s="34">
        <f>GU27+GU30</f>
        <v>1534872.7777395467</v>
      </c>
    </row>
    <row r="33" spans="1:203">
      <c r="A33" s="26"/>
      <c r="C33" s="29"/>
      <c r="E33" s="29"/>
      <c r="G33" s="29"/>
      <c r="I33" s="29"/>
      <c r="K33" s="29"/>
      <c r="M33" s="29"/>
      <c r="O33" s="29"/>
      <c r="Q33" s="29"/>
      <c r="S33" s="29"/>
      <c r="U33" s="29"/>
      <c r="W33" s="29"/>
      <c r="Y33" s="29"/>
      <c r="AA33" s="29"/>
      <c r="AC33" s="29"/>
      <c r="AE33" s="29"/>
      <c r="AG33" s="29"/>
      <c r="AI33" s="29"/>
      <c r="AK33" s="29"/>
      <c r="AM33" s="29"/>
      <c r="AO33" s="29"/>
      <c r="AQ33" s="29"/>
      <c r="AS33" s="29"/>
      <c r="AU33" s="29"/>
      <c r="AW33" s="29"/>
      <c r="AY33" s="29"/>
      <c r="BA33" s="29"/>
      <c r="BC33" s="29"/>
      <c r="BE33" s="29"/>
      <c r="BG33" s="29"/>
      <c r="BI33" s="29"/>
      <c r="BK33" s="29"/>
      <c r="BM33" s="29"/>
      <c r="BO33" s="29"/>
      <c r="BQ33" s="29"/>
      <c r="BS33" s="29"/>
      <c r="BU33" s="29"/>
      <c r="BW33" s="29"/>
      <c r="BY33" s="29"/>
      <c r="CA33" s="29"/>
      <c r="CC33" s="29"/>
      <c r="CE33" s="29"/>
      <c r="CG33" s="29"/>
      <c r="CI33" s="29"/>
      <c r="CK33" s="29"/>
      <c r="CM33" s="29"/>
      <c r="CO33" s="29"/>
      <c r="CQ33" s="29"/>
      <c r="CS33" s="29"/>
      <c r="CU33" s="29"/>
      <c r="CW33" s="29"/>
      <c r="CY33" s="29"/>
      <c r="DA33" s="29"/>
      <c r="DB33" s="78"/>
      <c r="DC33" s="29"/>
      <c r="DD33" s="5"/>
      <c r="DE33" s="29"/>
      <c r="DF33" s="5"/>
      <c r="DG33" s="29"/>
      <c r="DH33" s="5"/>
      <c r="DI33" s="29"/>
      <c r="DJ33" s="5"/>
      <c r="DK33" s="29"/>
      <c r="DL33" s="5"/>
      <c r="DM33" s="29"/>
      <c r="DN33" s="5"/>
      <c r="DO33" s="29"/>
      <c r="DP33" s="5"/>
      <c r="DQ33" s="29"/>
      <c r="DR33" s="5"/>
      <c r="DS33" s="29"/>
      <c r="DT33" s="5"/>
      <c r="DU33" s="29"/>
      <c r="DV33" s="5"/>
      <c r="DW33" s="29"/>
      <c r="DX33" s="5"/>
      <c r="DY33" s="29"/>
      <c r="DZ33" s="5"/>
      <c r="EA33" s="29"/>
      <c r="EB33" s="5"/>
      <c r="EC33" s="29"/>
      <c r="ED33" s="5"/>
      <c r="EE33" s="29"/>
      <c r="EF33" s="5"/>
      <c r="EG33" s="29"/>
      <c r="EH33" s="5"/>
      <c r="EI33" s="29"/>
      <c r="EJ33" s="5"/>
      <c r="EK33" s="29"/>
      <c r="EL33" s="5"/>
      <c r="EM33" s="29"/>
      <c r="EN33" s="5"/>
      <c r="EO33" s="29"/>
      <c r="EP33" s="5"/>
      <c r="EQ33" s="29"/>
      <c r="ER33" s="5"/>
      <c r="ES33" s="29"/>
      <c r="ET33" s="5"/>
      <c r="EU33" s="29"/>
      <c r="EV33" s="5"/>
      <c r="EW33" s="29"/>
      <c r="EX33" s="5"/>
      <c r="EY33" s="29"/>
      <c r="EZ33" s="5"/>
      <c r="FA33" s="29"/>
      <c r="FB33" s="5"/>
      <c r="FC33" s="29"/>
      <c r="FD33" s="5"/>
      <c r="FE33" s="29"/>
      <c r="FF33" s="5"/>
      <c r="FG33" s="29"/>
      <c r="FH33" s="5"/>
      <c r="FI33" s="29"/>
      <c r="FJ33" s="5"/>
      <c r="FK33" s="29"/>
      <c r="FL33" s="5"/>
      <c r="FM33" s="29"/>
      <c r="FN33" s="5"/>
      <c r="FO33" s="29"/>
      <c r="FP33" s="5"/>
      <c r="FQ33" s="29"/>
      <c r="FR33" s="5"/>
      <c r="FS33" s="29"/>
      <c r="FT33" s="5"/>
      <c r="FU33" s="29"/>
      <c r="FV33" s="5"/>
      <c r="FW33" s="29"/>
      <c r="FX33" s="5"/>
      <c r="FY33" s="29"/>
      <c r="FZ33" s="5"/>
      <c r="GA33" s="29"/>
      <c r="GB33" s="5"/>
      <c r="GC33" s="29"/>
      <c r="GD33" s="5"/>
      <c r="GE33" s="29"/>
      <c r="GF33" s="5"/>
      <c r="GG33" s="29"/>
      <c r="GH33" s="5"/>
      <c r="GI33" s="29"/>
      <c r="GJ33" s="5"/>
      <c r="GK33" s="29"/>
      <c r="GL33" s="5"/>
      <c r="GM33" s="29"/>
      <c r="GN33" s="5"/>
      <c r="GO33" s="29"/>
      <c r="GP33" s="5"/>
      <c r="GQ33" s="29"/>
      <c r="GR33" s="5"/>
      <c r="GS33" s="29"/>
      <c r="GT33" s="5"/>
      <c r="GU33" s="29"/>
    </row>
    <row r="34" spans="1:203">
      <c r="A34" s="25" t="s">
        <v>76</v>
      </c>
      <c r="C34" s="29"/>
      <c r="E34" s="29"/>
      <c r="G34" s="29"/>
      <c r="I34" s="29"/>
      <c r="K34" s="29"/>
      <c r="M34" s="29"/>
      <c r="O34" s="29"/>
      <c r="Q34" s="29"/>
      <c r="S34" s="29"/>
      <c r="U34" s="29"/>
      <c r="W34" s="29"/>
      <c r="Y34" s="29"/>
      <c r="AA34" s="29"/>
      <c r="AC34" s="29"/>
      <c r="AE34" s="29"/>
      <c r="AG34" s="29"/>
      <c r="AI34" s="29"/>
      <c r="AK34" s="29"/>
      <c r="AM34" s="29"/>
      <c r="AO34" s="29"/>
      <c r="AQ34" s="29"/>
      <c r="AS34" s="29"/>
      <c r="AU34" s="29"/>
      <c r="AW34" s="29"/>
      <c r="AY34" s="29"/>
      <c r="BA34" s="29"/>
      <c r="BC34" s="29"/>
      <c r="BE34" s="29"/>
      <c r="BG34" s="29"/>
      <c r="BI34" s="29"/>
      <c r="BK34" s="29"/>
      <c r="BM34" s="29"/>
      <c r="BO34" s="29"/>
      <c r="BQ34" s="29"/>
      <c r="BS34" s="29"/>
      <c r="BU34" s="29"/>
      <c r="BW34" s="29"/>
      <c r="BY34" s="29"/>
      <c r="CA34" s="29"/>
      <c r="CC34" s="29"/>
      <c r="CE34" s="29"/>
      <c r="CG34" s="29"/>
      <c r="CI34" s="29"/>
      <c r="CK34" s="29"/>
      <c r="CM34" s="29"/>
      <c r="CO34" s="29"/>
      <c r="CQ34" s="29"/>
      <c r="CS34" s="29"/>
      <c r="CU34" s="29"/>
      <c r="CW34" s="29"/>
      <c r="CY34" s="29"/>
      <c r="DA34" s="29"/>
      <c r="DB34" s="75"/>
      <c r="DC34" s="29"/>
      <c r="DD34" s="5"/>
      <c r="DE34" s="29"/>
      <c r="DF34" s="5"/>
      <c r="DG34" s="29"/>
      <c r="DH34" s="5"/>
      <c r="DI34" s="29"/>
      <c r="DJ34" s="5"/>
      <c r="DK34" s="29"/>
      <c r="DL34" s="5"/>
      <c r="DM34" s="29"/>
      <c r="DN34" s="5"/>
      <c r="DO34" s="29"/>
      <c r="DP34" s="5"/>
      <c r="DQ34" s="29"/>
      <c r="DR34" s="5"/>
      <c r="DS34" s="29">
        <f t="shared" ref="DS34:DW41" si="44">S34-U34</f>
        <v>0</v>
      </c>
      <c r="DT34" s="5"/>
      <c r="DU34" s="29">
        <f t="shared" si="44"/>
        <v>0</v>
      </c>
      <c r="DV34" s="5"/>
      <c r="DW34" s="29">
        <f t="shared" si="44"/>
        <v>0</v>
      </c>
      <c r="DX34" s="5"/>
      <c r="DY34" s="29">
        <f t="shared" ref="DY34:DY41" si="45">Y34</f>
        <v>0</v>
      </c>
      <c r="DZ34" s="5"/>
      <c r="EA34" s="29">
        <f t="shared" ref="EA34:EE41" si="46">AA34-AC34</f>
        <v>0</v>
      </c>
      <c r="EB34" s="5"/>
      <c r="EC34" s="29">
        <f t="shared" si="46"/>
        <v>0</v>
      </c>
      <c r="ED34" s="5"/>
      <c r="EE34" s="29">
        <f t="shared" si="46"/>
        <v>0</v>
      </c>
      <c r="EF34" s="5"/>
      <c r="EG34" s="29">
        <f t="shared" ref="EG34:EG41" si="47">AG34</f>
        <v>0</v>
      </c>
      <c r="EH34" s="5"/>
      <c r="EI34" s="29">
        <f t="shared" ref="EI34:EM41" si="48">AI34-AK34</f>
        <v>0</v>
      </c>
      <c r="EJ34" s="5"/>
      <c r="EK34" s="29">
        <f t="shared" si="48"/>
        <v>0</v>
      </c>
      <c r="EL34" s="5"/>
      <c r="EM34" s="29">
        <f t="shared" si="48"/>
        <v>0</v>
      </c>
      <c r="EN34" s="5"/>
      <c r="EO34" s="29">
        <f t="shared" ref="EO34:EO41" si="49">AO34</f>
        <v>0</v>
      </c>
      <c r="EP34" s="5"/>
      <c r="EQ34" s="29">
        <f t="shared" ref="EQ34:EQ41" si="50">AQ34-AS34</f>
        <v>0</v>
      </c>
      <c r="ER34" s="5"/>
      <c r="ES34" s="29">
        <f t="shared" ref="ES34:ES41" si="51">AS34-AU34</f>
        <v>0</v>
      </c>
      <c r="ET34" s="5"/>
      <c r="EU34" s="29">
        <f t="shared" ref="EU34:EU41" si="52">AU34-AW34</f>
        <v>0</v>
      </c>
      <c r="EV34" s="5"/>
      <c r="EW34" s="29"/>
      <c r="EX34" s="5"/>
      <c r="EY34" s="29">
        <f t="shared" ref="EY34:FC41" si="53">AY34-BA34</f>
        <v>0</v>
      </c>
      <c r="EZ34" s="5"/>
      <c r="FA34" s="29">
        <f t="shared" si="53"/>
        <v>0</v>
      </c>
      <c r="FB34" s="5"/>
      <c r="FC34" s="29">
        <f t="shared" si="53"/>
        <v>0</v>
      </c>
      <c r="FD34" s="5"/>
      <c r="FE34" s="29"/>
      <c r="FF34" s="5"/>
      <c r="FG34" s="29">
        <f t="shared" ref="FG34:FQ41" si="54">BG34-BI34</f>
        <v>0</v>
      </c>
      <c r="FH34" s="5"/>
      <c r="FI34" s="29">
        <f t="shared" si="54"/>
        <v>0</v>
      </c>
      <c r="FJ34" s="5"/>
      <c r="FK34" s="29">
        <f t="shared" si="54"/>
        <v>0</v>
      </c>
      <c r="FL34" s="5"/>
      <c r="FM34" s="29">
        <f t="shared" si="54"/>
        <v>0</v>
      </c>
      <c r="FN34" s="5"/>
      <c r="FO34" s="29">
        <f t="shared" si="54"/>
        <v>0</v>
      </c>
      <c r="FP34" s="5"/>
      <c r="FQ34" s="29">
        <f t="shared" si="54"/>
        <v>0</v>
      </c>
      <c r="FR34" s="5"/>
      <c r="FS34" s="29">
        <f t="shared" ref="FS34:FS41" si="55">BS34</f>
        <v>0</v>
      </c>
      <c r="FT34" s="5"/>
      <c r="FU34" s="29">
        <f t="shared" ref="FU34:FY41" si="56">BU34-BW34</f>
        <v>0</v>
      </c>
      <c r="FV34" s="5"/>
      <c r="FW34" s="29">
        <f t="shared" si="56"/>
        <v>0</v>
      </c>
      <c r="FX34" s="5"/>
      <c r="FY34" s="29">
        <f t="shared" si="56"/>
        <v>0</v>
      </c>
      <c r="FZ34" s="5"/>
      <c r="GA34" s="29">
        <f t="shared" ref="GA34:GA41" si="57">CA34</f>
        <v>0</v>
      </c>
      <c r="GB34" s="5"/>
      <c r="GC34" s="29">
        <f t="shared" ref="GC34:GG41" si="58">CC34-CE34</f>
        <v>0</v>
      </c>
      <c r="GD34" s="5"/>
      <c r="GE34" s="29">
        <f t="shared" si="58"/>
        <v>0</v>
      </c>
      <c r="GF34" s="5"/>
      <c r="GG34" s="29">
        <f t="shared" si="58"/>
        <v>0</v>
      </c>
      <c r="GH34" s="5"/>
      <c r="GI34" s="29">
        <f t="shared" ref="GI34:GI41" si="59">CI34</f>
        <v>0</v>
      </c>
      <c r="GJ34" s="5"/>
      <c r="GK34" s="29">
        <f t="shared" ref="GK34:GM41" si="60">CK34-CM34</f>
        <v>0</v>
      </c>
      <c r="GL34" s="5"/>
      <c r="GM34" s="29">
        <f t="shared" si="60"/>
        <v>0</v>
      </c>
      <c r="GN34" s="5"/>
      <c r="GO34" s="29">
        <f t="shared" ref="GO34:GO41" si="61">CO34-CQ34</f>
        <v>0</v>
      </c>
      <c r="GP34" s="5"/>
      <c r="GQ34" s="29">
        <f t="shared" ref="GQ34:GQ41" si="62">CQ34</f>
        <v>0</v>
      </c>
      <c r="GR34" s="5"/>
      <c r="GS34" s="29"/>
      <c r="GT34" s="5"/>
      <c r="GU34" s="29">
        <f t="shared" ref="GU34:GU41" si="63">CU34-CW34</f>
        <v>0</v>
      </c>
    </row>
    <row r="35" spans="1:203">
      <c r="A35" s="26" t="s">
        <v>77</v>
      </c>
      <c r="C35" s="29"/>
      <c r="E35" s="29"/>
      <c r="G35" s="29"/>
      <c r="I35" s="29"/>
      <c r="K35" s="29"/>
      <c r="M35" s="29"/>
      <c r="O35" s="29"/>
      <c r="Q35" s="29"/>
      <c r="S35" s="29"/>
      <c r="U35" s="29"/>
      <c r="W35" s="29"/>
      <c r="Y35" s="29"/>
      <c r="AA35" s="29"/>
      <c r="AC35" s="29"/>
      <c r="AE35" s="29"/>
      <c r="AG35" s="29"/>
      <c r="AI35" s="29"/>
      <c r="AK35" s="29"/>
      <c r="AM35" s="29"/>
      <c r="AO35" s="29"/>
      <c r="AQ35" s="29"/>
      <c r="AS35" s="29"/>
      <c r="AU35" s="29"/>
      <c r="AW35" s="29"/>
      <c r="AY35" s="29"/>
      <c r="BA35" s="29"/>
      <c r="BC35" s="29"/>
      <c r="BE35" s="29"/>
      <c r="BG35" s="29"/>
      <c r="BI35" s="29"/>
      <c r="BK35" s="29"/>
      <c r="BM35" s="29"/>
      <c r="BO35" s="29"/>
      <c r="BQ35" s="29"/>
      <c r="BS35" s="29"/>
      <c r="BU35" s="29"/>
      <c r="BW35" s="29"/>
      <c r="BY35" s="29"/>
      <c r="CA35" s="29"/>
      <c r="CC35" s="29"/>
      <c r="CE35" s="29"/>
      <c r="CG35" s="29"/>
      <c r="CI35" s="29"/>
      <c r="CK35" s="29"/>
      <c r="CM35" s="29">
        <v>0</v>
      </c>
      <c r="CO35" s="29">
        <v>0</v>
      </c>
      <c r="CQ35" s="29">
        <v>0</v>
      </c>
      <c r="CS35" s="29">
        <v>0</v>
      </c>
      <c r="CU35" s="29">
        <v>0</v>
      </c>
      <c r="CW35" s="29">
        <v>0</v>
      </c>
      <c r="CY35" s="29"/>
      <c r="DA35" s="29"/>
      <c r="DB35" s="78"/>
      <c r="DC35" s="29"/>
      <c r="DD35" s="5"/>
      <c r="DE35" s="29"/>
      <c r="DF35" s="5"/>
      <c r="DG35" s="29"/>
      <c r="DH35" s="5"/>
      <c r="DI35" s="29"/>
      <c r="DJ35" s="5"/>
      <c r="DK35" s="29">
        <f t="shared" ref="DK35:DK41" si="64">K35-M35</f>
        <v>0</v>
      </c>
      <c r="DL35" s="5"/>
      <c r="DM35" s="29"/>
      <c r="DN35" s="5"/>
      <c r="DO35" s="29"/>
      <c r="DP35" s="5"/>
      <c r="DQ35" s="29"/>
      <c r="DR35" s="5"/>
      <c r="DS35" s="29">
        <f t="shared" si="44"/>
        <v>0</v>
      </c>
      <c r="DT35" s="5"/>
      <c r="DU35" s="29">
        <f t="shared" si="44"/>
        <v>0</v>
      </c>
      <c r="DV35" s="5"/>
      <c r="DW35" s="29">
        <f t="shared" si="44"/>
        <v>0</v>
      </c>
      <c r="DX35" s="5"/>
      <c r="DY35" s="29">
        <f t="shared" si="45"/>
        <v>0</v>
      </c>
      <c r="DZ35" s="5"/>
      <c r="EA35" s="29">
        <f t="shared" si="46"/>
        <v>0</v>
      </c>
      <c r="EB35" s="5"/>
      <c r="EC35" s="29">
        <f t="shared" si="46"/>
        <v>0</v>
      </c>
      <c r="ED35" s="5"/>
      <c r="EE35" s="29">
        <f t="shared" si="46"/>
        <v>0</v>
      </c>
      <c r="EF35" s="5"/>
      <c r="EG35" s="29">
        <f t="shared" si="47"/>
        <v>0</v>
      </c>
      <c r="EH35" s="5"/>
      <c r="EI35" s="29">
        <f t="shared" si="48"/>
        <v>0</v>
      </c>
      <c r="EJ35" s="5"/>
      <c r="EK35" s="29">
        <f t="shared" si="48"/>
        <v>0</v>
      </c>
      <c r="EL35" s="5"/>
      <c r="EM35" s="29">
        <f t="shared" si="48"/>
        <v>0</v>
      </c>
      <c r="EN35" s="5"/>
      <c r="EO35" s="29">
        <f t="shared" si="49"/>
        <v>0</v>
      </c>
      <c r="EP35" s="5"/>
      <c r="EQ35" s="29">
        <f t="shared" si="50"/>
        <v>0</v>
      </c>
      <c r="ER35" s="5"/>
      <c r="ES35" s="29">
        <f t="shared" si="51"/>
        <v>0</v>
      </c>
      <c r="ET35" s="5"/>
      <c r="EU35" s="29">
        <f t="shared" si="52"/>
        <v>0</v>
      </c>
      <c r="EV35" s="5"/>
      <c r="EW35" s="29">
        <f t="shared" ref="EW35:EW41" si="65">AW35</f>
        <v>0</v>
      </c>
      <c r="EX35" s="5"/>
      <c r="EY35" s="29">
        <f t="shared" si="53"/>
        <v>0</v>
      </c>
      <c r="EZ35" s="5"/>
      <c r="FA35" s="29">
        <f t="shared" si="53"/>
        <v>0</v>
      </c>
      <c r="FB35" s="5"/>
      <c r="FC35" s="29">
        <f t="shared" si="53"/>
        <v>0</v>
      </c>
      <c r="FD35" s="5"/>
      <c r="FE35" s="29">
        <f t="shared" ref="FE35:FE41" si="66">BE35</f>
        <v>0</v>
      </c>
      <c r="FF35" s="5"/>
      <c r="FG35" s="29">
        <f t="shared" si="54"/>
        <v>0</v>
      </c>
      <c r="FH35" s="5"/>
      <c r="FI35" s="29">
        <f t="shared" si="54"/>
        <v>0</v>
      </c>
      <c r="FJ35" s="5"/>
      <c r="FK35" s="29">
        <f t="shared" si="54"/>
        <v>0</v>
      </c>
      <c r="FL35" s="5"/>
      <c r="FM35" s="29">
        <f t="shared" si="54"/>
        <v>0</v>
      </c>
      <c r="FN35" s="5"/>
      <c r="FO35" s="29">
        <f t="shared" si="54"/>
        <v>0</v>
      </c>
      <c r="FP35" s="5"/>
      <c r="FQ35" s="29">
        <f t="shared" si="54"/>
        <v>0</v>
      </c>
      <c r="FR35" s="5"/>
      <c r="FS35" s="29">
        <f t="shared" si="55"/>
        <v>0</v>
      </c>
      <c r="FT35" s="5"/>
      <c r="FU35" s="29">
        <f t="shared" si="56"/>
        <v>0</v>
      </c>
      <c r="FV35" s="5"/>
      <c r="FW35" s="29">
        <f t="shared" si="56"/>
        <v>0</v>
      </c>
      <c r="FX35" s="5"/>
      <c r="FY35" s="29">
        <f t="shared" si="56"/>
        <v>0</v>
      </c>
      <c r="FZ35" s="5"/>
      <c r="GA35" s="29">
        <f t="shared" si="57"/>
        <v>0</v>
      </c>
      <c r="GB35" s="5"/>
      <c r="GC35" s="29">
        <f t="shared" si="58"/>
        <v>0</v>
      </c>
      <c r="GD35" s="5"/>
      <c r="GE35" s="29">
        <f t="shared" si="58"/>
        <v>0</v>
      </c>
      <c r="GF35" s="5"/>
      <c r="GG35" s="29">
        <f t="shared" si="58"/>
        <v>0</v>
      </c>
      <c r="GH35" s="5"/>
      <c r="GI35" s="29">
        <f t="shared" si="59"/>
        <v>0</v>
      </c>
      <c r="GJ35" s="5"/>
      <c r="GK35" s="29">
        <f t="shared" si="60"/>
        <v>0</v>
      </c>
      <c r="GL35" s="5"/>
      <c r="GM35" s="29">
        <f t="shared" si="60"/>
        <v>0</v>
      </c>
      <c r="GN35" s="5"/>
      <c r="GO35" s="29">
        <f t="shared" si="61"/>
        <v>0</v>
      </c>
      <c r="GP35" s="5"/>
      <c r="GQ35" s="29">
        <f t="shared" si="62"/>
        <v>0</v>
      </c>
      <c r="GR35" s="5"/>
      <c r="GS35" s="29"/>
      <c r="GT35" s="5"/>
      <c r="GU35" s="29">
        <f t="shared" si="63"/>
        <v>0</v>
      </c>
    </row>
    <row r="36" spans="1:203">
      <c r="A36" s="26" t="s">
        <v>78</v>
      </c>
      <c r="C36" s="29"/>
      <c r="E36" s="29"/>
      <c r="G36" s="29"/>
      <c r="I36" s="29"/>
      <c r="K36" s="29"/>
      <c r="M36" s="29"/>
      <c r="O36" s="29"/>
      <c r="Q36" s="29"/>
      <c r="S36" s="29"/>
      <c r="U36" s="29"/>
      <c r="W36" s="29"/>
      <c r="Y36" s="29"/>
      <c r="AA36" s="29"/>
      <c r="AC36" s="29"/>
      <c r="AE36" s="29"/>
      <c r="AG36" s="29"/>
      <c r="AI36" s="29"/>
      <c r="AK36" s="29"/>
      <c r="AM36" s="29"/>
      <c r="AO36" s="29"/>
      <c r="AQ36" s="29"/>
      <c r="AS36" s="29"/>
      <c r="AU36" s="29"/>
      <c r="AW36" s="29"/>
      <c r="AY36" s="29"/>
      <c r="BA36" s="29"/>
      <c r="BC36" s="29"/>
      <c r="BE36" s="29"/>
      <c r="BG36" s="29"/>
      <c r="BI36" s="29"/>
      <c r="BK36" s="29"/>
      <c r="BM36" s="29"/>
      <c r="BO36" s="29"/>
      <c r="BQ36" s="29"/>
      <c r="BS36" s="29"/>
      <c r="BU36" s="29"/>
      <c r="BW36" s="29"/>
      <c r="BY36" s="29"/>
      <c r="CA36" s="29"/>
      <c r="CC36" s="29"/>
      <c r="CE36" s="29"/>
      <c r="CG36" s="29"/>
      <c r="CI36" s="29"/>
      <c r="CK36" s="29"/>
      <c r="CM36" s="29">
        <v>0</v>
      </c>
      <c r="CO36" s="29">
        <v>0</v>
      </c>
      <c r="CQ36" s="29">
        <v>0</v>
      </c>
      <c r="CS36" s="29">
        <v>0</v>
      </c>
      <c r="CU36" s="29">
        <v>0</v>
      </c>
      <c r="CW36" s="29">
        <v>0</v>
      </c>
      <c r="CY36" s="29"/>
      <c r="DA36" s="29"/>
      <c r="DB36" s="75"/>
      <c r="DC36" s="29"/>
      <c r="DD36" s="5"/>
      <c r="DE36" s="29"/>
      <c r="DF36" s="5"/>
      <c r="DG36" s="29"/>
      <c r="DH36" s="5"/>
      <c r="DI36" s="29"/>
      <c r="DJ36" s="5"/>
      <c r="DK36" s="29">
        <f t="shared" si="64"/>
        <v>0</v>
      </c>
      <c r="DL36" s="5"/>
      <c r="DM36" s="29"/>
      <c r="DN36" s="5"/>
      <c r="DO36" s="29"/>
      <c r="DP36" s="5"/>
      <c r="DQ36" s="29"/>
      <c r="DR36" s="5"/>
      <c r="DS36" s="29">
        <f t="shared" si="44"/>
        <v>0</v>
      </c>
      <c r="DT36" s="5"/>
      <c r="DU36" s="29">
        <f t="shared" si="44"/>
        <v>0</v>
      </c>
      <c r="DV36" s="5"/>
      <c r="DW36" s="29">
        <f t="shared" si="44"/>
        <v>0</v>
      </c>
      <c r="DX36" s="5"/>
      <c r="DY36" s="29">
        <f t="shared" si="45"/>
        <v>0</v>
      </c>
      <c r="DZ36" s="5"/>
      <c r="EA36" s="29">
        <f t="shared" si="46"/>
        <v>0</v>
      </c>
      <c r="EB36" s="5"/>
      <c r="EC36" s="29">
        <f t="shared" si="46"/>
        <v>0</v>
      </c>
      <c r="ED36" s="5"/>
      <c r="EE36" s="29">
        <f t="shared" si="46"/>
        <v>0</v>
      </c>
      <c r="EF36" s="5"/>
      <c r="EG36" s="29">
        <f t="shared" si="47"/>
        <v>0</v>
      </c>
      <c r="EH36" s="5"/>
      <c r="EI36" s="29">
        <f t="shared" si="48"/>
        <v>0</v>
      </c>
      <c r="EJ36" s="5"/>
      <c r="EK36" s="29">
        <f t="shared" si="48"/>
        <v>0</v>
      </c>
      <c r="EL36" s="5"/>
      <c r="EM36" s="29">
        <f t="shared" si="48"/>
        <v>0</v>
      </c>
      <c r="EN36" s="5"/>
      <c r="EO36" s="29">
        <f t="shared" si="49"/>
        <v>0</v>
      </c>
      <c r="EP36" s="5"/>
      <c r="EQ36" s="29">
        <f t="shared" si="50"/>
        <v>0</v>
      </c>
      <c r="ER36" s="5"/>
      <c r="ES36" s="29">
        <f t="shared" si="51"/>
        <v>0</v>
      </c>
      <c r="ET36" s="5"/>
      <c r="EU36" s="29">
        <f t="shared" si="52"/>
        <v>0</v>
      </c>
      <c r="EV36" s="5"/>
      <c r="EW36" s="29">
        <f t="shared" si="65"/>
        <v>0</v>
      </c>
      <c r="EX36" s="5"/>
      <c r="EY36" s="29">
        <f t="shared" si="53"/>
        <v>0</v>
      </c>
      <c r="EZ36" s="5"/>
      <c r="FA36" s="29">
        <f t="shared" si="53"/>
        <v>0</v>
      </c>
      <c r="FB36" s="5"/>
      <c r="FC36" s="29">
        <f t="shared" si="53"/>
        <v>0</v>
      </c>
      <c r="FD36" s="5"/>
      <c r="FE36" s="29">
        <f t="shared" si="66"/>
        <v>0</v>
      </c>
      <c r="FF36" s="5"/>
      <c r="FG36" s="29">
        <f t="shared" si="54"/>
        <v>0</v>
      </c>
      <c r="FH36" s="5"/>
      <c r="FI36" s="29">
        <f t="shared" si="54"/>
        <v>0</v>
      </c>
      <c r="FJ36" s="5"/>
      <c r="FK36" s="29">
        <f t="shared" si="54"/>
        <v>0</v>
      </c>
      <c r="FL36" s="5"/>
      <c r="FM36" s="29">
        <f t="shared" si="54"/>
        <v>0</v>
      </c>
      <c r="FN36" s="5"/>
      <c r="FO36" s="29">
        <f t="shared" si="54"/>
        <v>0</v>
      </c>
      <c r="FP36" s="5"/>
      <c r="FQ36" s="29">
        <f t="shared" si="54"/>
        <v>0</v>
      </c>
      <c r="FR36" s="5"/>
      <c r="FS36" s="29">
        <f t="shared" si="55"/>
        <v>0</v>
      </c>
      <c r="FT36" s="5"/>
      <c r="FU36" s="29">
        <f t="shared" si="56"/>
        <v>0</v>
      </c>
      <c r="FV36" s="5"/>
      <c r="FW36" s="29">
        <f t="shared" si="56"/>
        <v>0</v>
      </c>
      <c r="FX36" s="5"/>
      <c r="FY36" s="29">
        <f t="shared" si="56"/>
        <v>0</v>
      </c>
      <c r="FZ36" s="5"/>
      <c r="GA36" s="29">
        <f t="shared" si="57"/>
        <v>0</v>
      </c>
      <c r="GB36" s="5"/>
      <c r="GC36" s="29">
        <f t="shared" si="58"/>
        <v>0</v>
      </c>
      <c r="GD36" s="5"/>
      <c r="GE36" s="29">
        <f t="shared" si="58"/>
        <v>0</v>
      </c>
      <c r="GF36" s="5"/>
      <c r="GG36" s="29">
        <f t="shared" si="58"/>
        <v>0</v>
      </c>
      <c r="GH36" s="5"/>
      <c r="GI36" s="29">
        <f t="shared" si="59"/>
        <v>0</v>
      </c>
      <c r="GJ36" s="5"/>
      <c r="GK36" s="29">
        <f t="shared" si="60"/>
        <v>0</v>
      </c>
      <c r="GL36" s="5"/>
      <c r="GM36" s="29">
        <f t="shared" si="60"/>
        <v>0</v>
      </c>
      <c r="GN36" s="5"/>
      <c r="GO36" s="29">
        <f t="shared" si="61"/>
        <v>0</v>
      </c>
      <c r="GP36" s="5"/>
      <c r="GQ36" s="29">
        <f t="shared" si="62"/>
        <v>0</v>
      </c>
      <c r="GR36" s="5"/>
      <c r="GS36" s="29"/>
      <c r="GT36" s="5"/>
      <c r="GU36" s="29">
        <f t="shared" si="63"/>
        <v>0</v>
      </c>
    </row>
    <row r="37" spans="1:203">
      <c r="A37" s="26" t="s">
        <v>79</v>
      </c>
      <c r="C37" s="29"/>
      <c r="E37" s="29"/>
      <c r="G37" s="29"/>
      <c r="I37" s="29"/>
      <c r="K37" s="29"/>
      <c r="M37" s="29"/>
      <c r="O37" s="29"/>
      <c r="Q37" s="29"/>
      <c r="S37" s="29"/>
      <c r="U37" s="29"/>
      <c r="W37" s="29"/>
      <c r="Y37" s="29"/>
      <c r="AA37" s="29"/>
      <c r="AC37" s="29"/>
      <c r="AE37" s="29"/>
      <c r="AG37" s="29"/>
      <c r="AI37" s="29"/>
      <c r="AK37" s="29"/>
      <c r="AM37" s="29"/>
      <c r="AO37" s="29"/>
      <c r="AQ37" s="29"/>
      <c r="AS37" s="29"/>
      <c r="AU37" s="29"/>
      <c r="AW37" s="29"/>
      <c r="AY37" s="29"/>
      <c r="BA37" s="29"/>
      <c r="BC37" s="29"/>
      <c r="BE37" s="29"/>
      <c r="BG37" s="29"/>
      <c r="BI37" s="29"/>
      <c r="BK37" s="29"/>
      <c r="BM37" s="29"/>
      <c r="BO37" s="29"/>
      <c r="BQ37" s="29"/>
      <c r="BS37" s="29"/>
      <c r="BU37" s="29"/>
      <c r="BW37" s="29"/>
      <c r="BY37" s="29"/>
      <c r="CA37" s="29"/>
      <c r="CC37" s="29"/>
      <c r="CE37" s="29"/>
      <c r="CG37" s="29"/>
      <c r="CI37" s="29"/>
      <c r="CK37" s="29"/>
      <c r="CM37" s="29">
        <v>0</v>
      </c>
      <c r="CO37" s="29">
        <v>0</v>
      </c>
      <c r="CQ37" s="29">
        <v>0</v>
      </c>
      <c r="CS37" s="29">
        <v>0</v>
      </c>
      <c r="CU37" s="29">
        <v>0</v>
      </c>
      <c r="CW37" s="29">
        <v>0</v>
      </c>
      <c r="CY37" s="29"/>
      <c r="DA37" s="29"/>
      <c r="DB37" s="75"/>
      <c r="DC37" s="29"/>
      <c r="DD37" s="5"/>
      <c r="DE37" s="29"/>
      <c r="DF37" s="5"/>
      <c r="DG37" s="29"/>
      <c r="DH37" s="5"/>
      <c r="DI37" s="29"/>
      <c r="DJ37" s="5"/>
      <c r="DK37" s="29">
        <f t="shared" si="64"/>
        <v>0</v>
      </c>
      <c r="DL37" s="5"/>
      <c r="DM37" s="29"/>
      <c r="DN37" s="5"/>
      <c r="DO37" s="29"/>
      <c r="DP37" s="5"/>
      <c r="DQ37" s="29"/>
      <c r="DR37" s="5"/>
      <c r="DS37" s="29">
        <f t="shared" si="44"/>
        <v>0</v>
      </c>
      <c r="DT37" s="5"/>
      <c r="DU37" s="29">
        <f t="shared" si="44"/>
        <v>0</v>
      </c>
      <c r="DV37" s="5"/>
      <c r="DW37" s="29">
        <f t="shared" si="44"/>
        <v>0</v>
      </c>
      <c r="DX37" s="5"/>
      <c r="DY37" s="29">
        <f t="shared" si="45"/>
        <v>0</v>
      </c>
      <c r="DZ37" s="5"/>
      <c r="EA37" s="29">
        <f t="shared" si="46"/>
        <v>0</v>
      </c>
      <c r="EB37" s="5"/>
      <c r="EC37" s="29">
        <f t="shared" si="46"/>
        <v>0</v>
      </c>
      <c r="ED37" s="5"/>
      <c r="EE37" s="29">
        <f t="shared" si="46"/>
        <v>0</v>
      </c>
      <c r="EF37" s="5"/>
      <c r="EG37" s="29">
        <f t="shared" si="47"/>
        <v>0</v>
      </c>
      <c r="EH37" s="5"/>
      <c r="EI37" s="29">
        <f t="shared" si="48"/>
        <v>0</v>
      </c>
      <c r="EJ37" s="5"/>
      <c r="EK37" s="29">
        <f t="shared" si="48"/>
        <v>0</v>
      </c>
      <c r="EL37" s="5"/>
      <c r="EM37" s="29">
        <f t="shared" si="48"/>
        <v>0</v>
      </c>
      <c r="EN37" s="5"/>
      <c r="EO37" s="29">
        <f t="shared" si="49"/>
        <v>0</v>
      </c>
      <c r="EP37" s="5"/>
      <c r="EQ37" s="29">
        <f t="shared" si="50"/>
        <v>0</v>
      </c>
      <c r="ER37" s="5"/>
      <c r="ES37" s="29">
        <f t="shared" si="51"/>
        <v>0</v>
      </c>
      <c r="ET37" s="5"/>
      <c r="EU37" s="29">
        <f t="shared" si="52"/>
        <v>0</v>
      </c>
      <c r="EV37" s="5"/>
      <c r="EW37" s="29">
        <f t="shared" si="65"/>
        <v>0</v>
      </c>
      <c r="EX37" s="5"/>
      <c r="EY37" s="29">
        <f t="shared" si="53"/>
        <v>0</v>
      </c>
      <c r="EZ37" s="5"/>
      <c r="FA37" s="29">
        <f t="shared" si="53"/>
        <v>0</v>
      </c>
      <c r="FB37" s="5"/>
      <c r="FC37" s="29">
        <f t="shared" si="53"/>
        <v>0</v>
      </c>
      <c r="FD37" s="5"/>
      <c r="FE37" s="29">
        <f t="shared" si="66"/>
        <v>0</v>
      </c>
      <c r="FF37" s="5"/>
      <c r="FG37" s="29">
        <f t="shared" si="54"/>
        <v>0</v>
      </c>
      <c r="FH37" s="5"/>
      <c r="FI37" s="29">
        <f t="shared" si="54"/>
        <v>0</v>
      </c>
      <c r="FJ37" s="5"/>
      <c r="FK37" s="29">
        <f t="shared" si="54"/>
        <v>0</v>
      </c>
      <c r="FL37" s="5"/>
      <c r="FM37" s="29">
        <f t="shared" si="54"/>
        <v>0</v>
      </c>
      <c r="FN37" s="5"/>
      <c r="FO37" s="29">
        <f t="shared" si="54"/>
        <v>0</v>
      </c>
      <c r="FP37" s="5"/>
      <c r="FQ37" s="29">
        <f t="shared" si="54"/>
        <v>0</v>
      </c>
      <c r="FR37" s="5"/>
      <c r="FS37" s="29">
        <f t="shared" si="55"/>
        <v>0</v>
      </c>
      <c r="FT37" s="5"/>
      <c r="FU37" s="29">
        <f t="shared" si="56"/>
        <v>0</v>
      </c>
      <c r="FV37" s="5"/>
      <c r="FW37" s="29">
        <f t="shared" si="56"/>
        <v>0</v>
      </c>
      <c r="FX37" s="5"/>
      <c r="FY37" s="29">
        <f t="shared" si="56"/>
        <v>0</v>
      </c>
      <c r="FZ37" s="5"/>
      <c r="GA37" s="29">
        <f t="shared" si="57"/>
        <v>0</v>
      </c>
      <c r="GB37" s="5"/>
      <c r="GC37" s="29">
        <f t="shared" si="58"/>
        <v>0</v>
      </c>
      <c r="GD37" s="5"/>
      <c r="GE37" s="29">
        <f t="shared" si="58"/>
        <v>0</v>
      </c>
      <c r="GF37" s="5"/>
      <c r="GG37" s="29">
        <f t="shared" si="58"/>
        <v>0</v>
      </c>
      <c r="GH37" s="5"/>
      <c r="GI37" s="29">
        <f t="shared" si="59"/>
        <v>0</v>
      </c>
      <c r="GJ37" s="5"/>
      <c r="GK37" s="29">
        <f t="shared" si="60"/>
        <v>0</v>
      </c>
      <c r="GL37" s="5"/>
      <c r="GM37" s="29">
        <f t="shared" si="60"/>
        <v>0</v>
      </c>
      <c r="GN37" s="5"/>
      <c r="GO37" s="29">
        <f t="shared" si="61"/>
        <v>0</v>
      </c>
      <c r="GP37" s="5"/>
      <c r="GQ37" s="29">
        <f t="shared" si="62"/>
        <v>0</v>
      </c>
      <c r="GR37" s="5"/>
      <c r="GS37" s="29"/>
      <c r="GT37" s="5"/>
      <c r="GU37" s="29">
        <f t="shared" si="63"/>
        <v>0</v>
      </c>
    </row>
    <row r="38" spans="1:203">
      <c r="A38" s="26" t="s">
        <v>80</v>
      </c>
      <c r="C38" s="29"/>
      <c r="E38" s="29"/>
      <c r="G38" s="29"/>
      <c r="I38" s="29"/>
      <c r="K38" s="29"/>
      <c r="M38" s="29"/>
      <c r="O38" s="29"/>
      <c r="Q38" s="29"/>
      <c r="S38" s="29"/>
      <c r="U38" s="29"/>
      <c r="W38" s="29"/>
      <c r="Y38" s="29"/>
      <c r="AA38" s="29"/>
      <c r="AC38" s="29"/>
      <c r="AE38" s="29"/>
      <c r="AG38" s="29"/>
      <c r="AI38" s="29"/>
      <c r="AK38" s="29"/>
      <c r="AM38" s="29"/>
      <c r="AO38" s="29"/>
      <c r="AQ38" s="29"/>
      <c r="AS38" s="29"/>
      <c r="AU38" s="29"/>
      <c r="AW38" s="29"/>
      <c r="AY38" s="29"/>
      <c r="BA38" s="29"/>
      <c r="BC38" s="29"/>
      <c r="BE38" s="29"/>
      <c r="BG38" s="29"/>
      <c r="BI38" s="29"/>
      <c r="BK38" s="29"/>
      <c r="BM38" s="29"/>
      <c r="BO38" s="29"/>
      <c r="BQ38" s="29"/>
      <c r="BS38" s="29"/>
      <c r="BU38" s="29"/>
      <c r="BW38" s="29"/>
      <c r="BY38" s="29"/>
      <c r="CA38" s="29"/>
      <c r="CC38" s="29"/>
      <c r="CE38" s="29"/>
      <c r="CG38" s="29"/>
      <c r="CI38" s="29"/>
      <c r="CK38" s="29"/>
      <c r="CM38" s="29">
        <v>0</v>
      </c>
      <c r="CO38" s="29">
        <v>0</v>
      </c>
      <c r="CQ38" s="29">
        <v>0</v>
      </c>
      <c r="CS38" s="29">
        <v>0</v>
      </c>
      <c r="CU38" s="29">
        <v>0</v>
      </c>
      <c r="CW38" s="29">
        <v>0</v>
      </c>
      <c r="CY38" s="29"/>
      <c r="DA38" s="29"/>
      <c r="DB38" s="78"/>
      <c r="DC38" s="29"/>
      <c r="DD38" s="5"/>
      <c r="DE38" s="29"/>
      <c r="DF38" s="5"/>
      <c r="DG38" s="29"/>
      <c r="DH38" s="5"/>
      <c r="DI38" s="29"/>
      <c r="DJ38" s="5"/>
      <c r="DK38" s="29">
        <f t="shared" si="64"/>
        <v>0</v>
      </c>
      <c r="DL38" s="5"/>
      <c r="DM38" s="29"/>
      <c r="DN38" s="5"/>
      <c r="DO38" s="29"/>
      <c r="DP38" s="5"/>
      <c r="DQ38" s="29"/>
      <c r="DR38" s="5"/>
      <c r="DS38" s="29">
        <f t="shared" si="44"/>
        <v>0</v>
      </c>
      <c r="DT38" s="5"/>
      <c r="DU38" s="29">
        <f t="shared" si="44"/>
        <v>0</v>
      </c>
      <c r="DV38" s="5"/>
      <c r="DW38" s="29">
        <f t="shared" si="44"/>
        <v>0</v>
      </c>
      <c r="DX38" s="5"/>
      <c r="DY38" s="29">
        <f t="shared" si="45"/>
        <v>0</v>
      </c>
      <c r="DZ38" s="5"/>
      <c r="EA38" s="29">
        <f t="shared" si="46"/>
        <v>0</v>
      </c>
      <c r="EB38" s="5"/>
      <c r="EC38" s="29">
        <f t="shared" si="46"/>
        <v>0</v>
      </c>
      <c r="ED38" s="5"/>
      <c r="EE38" s="29">
        <f t="shared" si="46"/>
        <v>0</v>
      </c>
      <c r="EF38" s="5"/>
      <c r="EG38" s="29">
        <f t="shared" si="47"/>
        <v>0</v>
      </c>
      <c r="EH38" s="5"/>
      <c r="EI38" s="29">
        <f t="shared" si="48"/>
        <v>0</v>
      </c>
      <c r="EJ38" s="5"/>
      <c r="EK38" s="29">
        <f t="shared" si="48"/>
        <v>0</v>
      </c>
      <c r="EL38" s="5"/>
      <c r="EM38" s="29">
        <f t="shared" si="48"/>
        <v>0</v>
      </c>
      <c r="EN38" s="5"/>
      <c r="EO38" s="29">
        <f t="shared" si="49"/>
        <v>0</v>
      </c>
      <c r="EP38" s="5"/>
      <c r="EQ38" s="29">
        <f t="shared" si="50"/>
        <v>0</v>
      </c>
      <c r="ER38" s="5"/>
      <c r="ES38" s="29">
        <f t="shared" si="51"/>
        <v>0</v>
      </c>
      <c r="ET38" s="5"/>
      <c r="EU38" s="29">
        <f t="shared" si="52"/>
        <v>0</v>
      </c>
      <c r="EV38" s="5"/>
      <c r="EW38" s="29">
        <f t="shared" si="65"/>
        <v>0</v>
      </c>
      <c r="EX38" s="5"/>
      <c r="EY38" s="29">
        <f t="shared" si="53"/>
        <v>0</v>
      </c>
      <c r="EZ38" s="5"/>
      <c r="FA38" s="29">
        <f t="shared" si="53"/>
        <v>0</v>
      </c>
      <c r="FB38" s="5"/>
      <c r="FC38" s="29">
        <f t="shared" si="53"/>
        <v>0</v>
      </c>
      <c r="FD38" s="5"/>
      <c r="FE38" s="29">
        <f t="shared" si="66"/>
        <v>0</v>
      </c>
      <c r="FF38" s="5"/>
      <c r="FG38" s="29">
        <f t="shared" si="54"/>
        <v>0</v>
      </c>
      <c r="FH38" s="5"/>
      <c r="FI38" s="29">
        <f t="shared" si="54"/>
        <v>0</v>
      </c>
      <c r="FJ38" s="5"/>
      <c r="FK38" s="29">
        <f t="shared" si="54"/>
        <v>0</v>
      </c>
      <c r="FL38" s="5"/>
      <c r="FM38" s="29">
        <f t="shared" si="54"/>
        <v>0</v>
      </c>
      <c r="FN38" s="5"/>
      <c r="FO38" s="29">
        <f t="shared" si="54"/>
        <v>0</v>
      </c>
      <c r="FP38" s="5"/>
      <c r="FQ38" s="29">
        <f t="shared" si="54"/>
        <v>0</v>
      </c>
      <c r="FR38" s="5"/>
      <c r="FS38" s="29">
        <f t="shared" si="55"/>
        <v>0</v>
      </c>
      <c r="FT38" s="5"/>
      <c r="FU38" s="29">
        <f t="shared" si="56"/>
        <v>0</v>
      </c>
      <c r="FV38" s="5"/>
      <c r="FW38" s="29">
        <f t="shared" si="56"/>
        <v>0</v>
      </c>
      <c r="FX38" s="5"/>
      <c r="FY38" s="29">
        <f t="shared" si="56"/>
        <v>0</v>
      </c>
      <c r="FZ38" s="5"/>
      <c r="GA38" s="29">
        <f t="shared" si="57"/>
        <v>0</v>
      </c>
      <c r="GB38" s="5"/>
      <c r="GC38" s="29">
        <f t="shared" si="58"/>
        <v>0</v>
      </c>
      <c r="GD38" s="5"/>
      <c r="GE38" s="29">
        <f t="shared" si="58"/>
        <v>0</v>
      </c>
      <c r="GF38" s="5"/>
      <c r="GG38" s="29">
        <f t="shared" si="58"/>
        <v>0</v>
      </c>
      <c r="GH38" s="5"/>
      <c r="GI38" s="29">
        <f t="shared" si="59"/>
        <v>0</v>
      </c>
      <c r="GJ38" s="5"/>
      <c r="GK38" s="29">
        <f t="shared" si="60"/>
        <v>0</v>
      </c>
      <c r="GL38" s="5"/>
      <c r="GM38" s="29">
        <f t="shared" si="60"/>
        <v>0</v>
      </c>
      <c r="GN38" s="5"/>
      <c r="GO38" s="29">
        <f t="shared" si="61"/>
        <v>0</v>
      </c>
      <c r="GP38" s="5"/>
      <c r="GQ38" s="29">
        <f t="shared" si="62"/>
        <v>0</v>
      </c>
      <c r="GR38" s="5"/>
      <c r="GS38" s="29"/>
      <c r="GT38" s="5"/>
      <c r="GU38" s="29">
        <f t="shared" si="63"/>
        <v>0</v>
      </c>
    </row>
    <row r="39" spans="1:203">
      <c r="A39" s="26" t="s">
        <v>81</v>
      </c>
      <c r="C39" s="29"/>
      <c r="E39" s="29"/>
      <c r="G39" s="29"/>
      <c r="I39" s="29"/>
      <c r="K39" s="29">
        <v>-39430.620000000003</v>
      </c>
      <c r="M39" s="29"/>
      <c r="O39" s="29"/>
      <c r="Q39" s="29"/>
      <c r="S39" s="29">
        <v>-24149.55</v>
      </c>
      <c r="U39" s="29"/>
      <c r="W39" s="29"/>
      <c r="Y39" s="29"/>
      <c r="AA39" s="29">
        <v>41903.980000000003</v>
      </c>
      <c r="AC39" s="29"/>
      <c r="AE39" s="29"/>
      <c r="AG39" s="29"/>
      <c r="AI39" s="29">
        <v>21822.58</v>
      </c>
      <c r="AK39" s="29"/>
      <c r="AM39" s="29"/>
      <c r="AO39" s="29"/>
      <c r="AQ39" s="29">
        <v>4110.5200000000004</v>
      </c>
      <c r="AS39" s="29"/>
      <c r="AU39" s="29"/>
      <c r="AW39" s="29"/>
      <c r="AY39" s="29">
        <v>9275.35</v>
      </c>
      <c r="BA39" s="29"/>
      <c r="BC39" s="29"/>
      <c r="BE39" s="29"/>
      <c r="BG39" s="29">
        <v>-15304.05</v>
      </c>
      <c r="BI39" s="29"/>
      <c r="BK39" s="29"/>
      <c r="BM39" s="29">
        <v>0</v>
      </c>
      <c r="BO39" s="29">
        <v>0</v>
      </c>
      <c r="BQ39" s="29">
        <v>0</v>
      </c>
      <c r="BS39" s="29"/>
      <c r="BU39" s="29">
        <v>7054.06</v>
      </c>
      <c r="BW39" s="29"/>
      <c r="BY39" s="29"/>
      <c r="CA39" s="29"/>
      <c r="CC39" s="29">
        <v>5338.9</v>
      </c>
      <c r="CE39" s="29"/>
      <c r="CG39" s="29"/>
      <c r="CI39" s="29"/>
      <c r="CK39" s="29">
        <v>-11077.66</v>
      </c>
      <c r="CM39" s="29">
        <v>0</v>
      </c>
      <c r="CO39" s="29">
        <v>0</v>
      </c>
      <c r="CQ39" s="29">
        <v>0</v>
      </c>
      <c r="CS39" s="29">
        <v>332.18</v>
      </c>
      <c r="CU39" s="29">
        <v>0</v>
      </c>
      <c r="CW39" s="29">
        <v>0</v>
      </c>
      <c r="CY39" s="29">
        <v>875.83</v>
      </c>
      <c r="DA39" s="29">
        <v>11970.01</v>
      </c>
      <c r="DB39" s="75"/>
      <c r="DC39" s="29"/>
      <c r="DD39" s="5"/>
      <c r="DE39" s="29"/>
      <c r="DF39" s="5"/>
      <c r="DG39" s="29"/>
      <c r="DH39" s="5"/>
      <c r="DI39" s="29"/>
      <c r="DJ39" s="5"/>
      <c r="DK39" s="29">
        <f t="shared" si="64"/>
        <v>-39430.620000000003</v>
      </c>
      <c r="DL39" s="5"/>
      <c r="DM39" s="29"/>
      <c r="DN39" s="5"/>
      <c r="DO39" s="29"/>
      <c r="DP39" s="5"/>
      <c r="DQ39" s="29"/>
      <c r="DR39" s="5"/>
      <c r="DS39" s="29">
        <f t="shared" si="44"/>
        <v>-24149.55</v>
      </c>
      <c r="DT39" s="5"/>
      <c r="DU39" s="29">
        <f t="shared" si="44"/>
        <v>0</v>
      </c>
      <c r="DV39" s="5"/>
      <c r="DW39" s="29">
        <f t="shared" si="44"/>
        <v>0</v>
      </c>
      <c r="DX39" s="5"/>
      <c r="DY39" s="29">
        <f t="shared" si="45"/>
        <v>0</v>
      </c>
      <c r="DZ39" s="5"/>
      <c r="EA39" s="29">
        <f t="shared" si="46"/>
        <v>41903.980000000003</v>
      </c>
      <c r="EB39" s="5"/>
      <c r="EC39" s="29">
        <f t="shared" si="46"/>
        <v>0</v>
      </c>
      <c r="ED39" s="5"/>
      <c r="EE39" s="29">
        <f t="shared" si="46"/>
        <v>0</v>
      </c>
      <c r="EF39" s="5"/>
      <c r="EG39" s="29">
        <f t="shared" si="47"/>
        <v>0</v>
      </c>
      <c r="EH39" s="5"/>
      <c r="EI39" s="29">
        <f t="shared" si="48"/>
        <v>21822.58</v>
      </c>
      <c r="EJ39" s="5"/>
      <c r="EK39" s="29">
        <f t="shared" si="48"/>
        <v>0</v>
      </c>
      <c r="EL39" s="5"/>
      <c r="EM39" s="29">
        <f t="shared" si="48"/>
        <v>0</v>
      </c>
      <c r="EN39" s="5"/>
      <c r="EO39" s="29">
        <f t="shared" si="49"/>
        <v>0</v>
      </c>
      <c r="EP39" s="5"/>
      <c r="EQ39" s="29">
        <f t="shared" si="50"/>
        <v>4110.5200000000004</v>
      </c>
      <c r="ER39" s="5"/>
      <c r="ES39" s="29">
        <f t="shared" si="51"/>
        <v>0</v>
      </c>
      <c r="ET39" s="5"/>
      <c r="EU39" s="29">
        <f t="shared" si="52"/>
        <v>0</v>
      </c>
      <c r="EV39" s="5"/>
      <c r="EW39" s="29">
        <f t="shared" si="65"/>
        <v>0</v>
      </c>
      <c r="EX39" s="5"/>
      <c r="EY39" s="29">
        <f t="shared" si="53"/>
        <v>9275.35</v>
      </c>
      <c r="EZ39" s="5"/>
      <c r="FA39" s="29">
        <f t="shared" si="53"/>
        <v>0</v>
      </c>
      <c r="FB39" s="5"/>
      <c r="FC39" s="29">
        <f t="shared" si="53"/>
        <v>0</v>
      </c>
      <c r="FD39" s="5"/>
      <c r="FE39" s="29">
        <f t="shared" si="66"/>
        <v>0</v>
      </c>
      <c r="FF39" s="5"/>
      <c r="FG39" s="29">
        <f t="shared" si="54"/>
        <v>-15304.05</v>
      </c>
      <c r="FH39" s="5"/>
      <c r="FI39" s="29">
        <f t="shared" si="54"/>
        <v>0</v>
      </c>
      <c r="FJ39" s="5"/>
      <c r="FK39" s="29">
        <f t="shared" si="54"/>
        <v>0</v>
      </c>
      <c r="FL39" s="5"/>
      <c r="FM39" s="29">
        <f t="shared" si="54"/>
        <v>0</v>
      </c>
      <c r="FN39" s="5"/>
      <c r="FO39" s="29">
        <f t="shared" si="54"/>
        <v>0</v>
      </c>
      <c r="FP39" s="5"/>
      <c r="FQ39" s="29">
        <f t="shared" si="54"/>
        <v>0</v>
      </c>
      <c r="FR39" s="5"/>
      <c r="FS39" s="29">
        <f t="shared" si="55"/>
        <v>0</v>
      </c>
      <c r="FT39" s="5"/>
      <c r="FU39" s="29">
        <f t="shared" si="56"/>
        <v>7054.06</v>
      </c>
      <c r="FV39" s="5"/>
      <c r="FW39" s="29">
        <f t="shared" si="56"/>
        <v>0</v>
      </c>
      <c r="FX39" s="5"/>
      <c r="FY39" s="29">
        <f t="shared" si="56"/>
        <v>0</v>
      </c>
      <c r="FZ39" s="5"/>
      <c r="GA39" s="29">
        <f t="shared" si="57"/>
        <v>0</v>
      </c>
      <c r="GB39" s="5"/>
      <c r="GC39" s="29">
        <f t="shared" si="58"/>
        <v>5338.9</v>
      </c>
      <c r="GD39" s="5"/>
      <c r="GE39" s="29">
        <f t="shared" si="58"/>
        <v>0</v>
      </c>
      <c r="GF39" s="5"/>
      <c r="GG39" s="29">
        <f t="shared" si="58"/>
        <v>0</v>
      </c>
      <c r="GH39" s="5"/>
      <c r="GI39" s="29">
        <f t="shared" si="59"/>
        <v>0</v>
      </c>
      <c r="GJ39" s="5"/>
      <c r="GK39" s="29">
        <f t="shared" si="60"/>
        <v>-11077.66</v>
      </c>
      <c r="GL39" s="5"/>
      <c r="GM39" s="29">
        <f t="shared" si="60"/>
        <v>0</v>
      </c>
      <c r="GN39" s="5"/>
      <c r="GO39" s="29">
        <f t="shared" si="61"/>
        <v>0</v>
      </c>
      <c r="GP39" s="5"/>
      <c r="GQ39" s="29">
        <f t="shared" si="62"/>
        <v>0</v>
      </c>
      <c r="GR39" s="5"/>
      <c r="GS39" s="29"/>
      <c r="GT39" s="5"/>
      <c r="GU39" s="29">
        <f t="shared" si="63"/>
        <v>0</v>
      </c>
    </row>
    <row r="40" spans="1:203">
      <c r="A40" s="26" t="s">
        <v>82</v>
      </c>
      <c r="C40" s="29"/>
      <c r="E40" s="29"/>
      <c r="G40" s="29"/>
      <c r="I40" s="29"/>
      <c r="K40" s="29"/>
      <c r="M40" s="29"/>
      <c r="O40" s="29"/>
      <c r="Q40" s="29"/>
      <c r="S40" s="29"/>
      <c r="U40" s="29"/>
      <c r="W40" s="29"/>
      <c r="Y40" s="29"/>
      <c r="AA40" s="29"/>
      <c r="AC40" s="29"/>
      <c r="AE40" s="29"/>
      <c r="AG40" s="29"/>
      <c r="AI40" s="29"/>
      <c r="AK40" s="29"/>
      <c r="AM40" s="29"/>
      <c r="AO40" s="29"/>
      <c r="AQ40" s="29"/>
      <c r="AS40" s="29"/>
      <c r="AU40" s="29"/>
      <c r="AW40" s="29"/>
      <c r="AY40" s="29"/>
      <c r="BA40" s="29"/>
      <c r="BC40" s="29"/>
      <c r="BE40" s="29"/>
      <c r="BG40" s="29"/>
      <c r="BI40" s="29"/>
      <c r="BK40" s="29"/>
      <c r="BM40" s="29"/>
      <c r="BO40" s="29"/>
      <c r="BQ40" s="29"/>
      <c r="BS40" s="29"/>
      <c r="BU40" s="29"/>
      <c r="BW40" s="29"/>
      <c r="BY40" s="29"/>
      <c r="CA40" s="29"/>
      <c r="CC40" s="29"/>
      <c r="CE40" s="29"/>
      <c r="CG40" s="29"/>
      <c r="CI40" s="29"/>
      <c r="CK40" s="29">
        <v>2104.77</v>
      </c>
      <c r="CM40" s="29">
        <v>0</v>
      </c>
      <c r="CO40" s="29">
        <v>0</v>
      </c>
      <c r="CQ40" s="29">
        <v>0</v>
      </c>
      <c r="CS40" s="29">
        <v>0</v>
      </c>
      <c r="CU40" s="29">
        <v>0</v>
      </c>
      <c r="CW40" s="29">
        <v>0</v>
      </c>
      <c r="CY40" s="29"/>
      <c r="DA40" s="29"/>
      <c r="DB40" s="75"/>
      <c r="DC40" s="29"/>
      <c r="DD40" s="5"/>
      <c r="DE40" s="29"/>
      <c r="DF40" s="5"/>
      <c r="DG40" s="29"/>
      <c r="DH40" s="5"/>
      <c r="DI40" s="29"/>
      <c r="DJ40" s="5"/>
      <c r="DK40" s="29">
        <f t="shared" si="64"/>
        <v>0</v>
      </c>
      <c r="DL40" s="5"/>
      <c r="DM40" s="29"/>
      <c r="DN40" s="5"/>
      <c r="DO40" s="29"/>
      <c r="DP40" s="5"/>
      <c r="DQ40" s="29"/>
      <c r="DR40" s="5"/>
      <c r="DS40" s="29">
        <f t="shared" si="44"/>
        <v>0</v>
      </c>
      <c r="DT40" s="5"/>
      <c r="DU40" s="29">
        <f t="shared" si="44"/>
        <v>0</v>
      </c>
      <c r="DV40" s="5"/>
      <c r="DW40" s="29">
        <f t="shared" si="44"/>
        <v>0</v>
      </c>
      <c r="DX40" s="5"/>
      <c r="DY40" s="29">
        <f t="shared" si="45"/>
        <v>0</v>
      </c>
      <c r="DZ40" s="5"/>
      <c r="EA40" s="29">
        <f t="shared" si="46"/>
        <v>0</v>
      </c>
      <c r="EB40" s="5"/>
      <c r="EC40" s="29">
        <f t="shared" si="46"/>
        <v>0</v>
      </c>
      <c r="ED40" s="5"/>
      <c r="EE40" s="29">
        <f t="shared" si="46"/>
        <v>0</v>
      </c>
      <c r="EF40" s="5"/>
      <c r="EG40" s="29">
        <f t="shared" si="47"/>
        <v>0</v>
      </c>
      <c r="EH40" s="5"/>
      <c r="EI40" s="29">
        <f t="shared" si="48"/>
        <v>0</v>
      </c>
      <c r="EJ40" s="5"/>
      <c r="EK40" s="29">
        <f t="shared" si="48"/>
        <v>0</v>
      </c>
      <c r="EL40" s="5"/>
      <c r="EM40" s="29">
        <f t="shared" si="48"/>
        <v>0</v>
      </c>
      <c r="EN40" s="5"/>
      <c r="EO40" s="29">
        <f t="shared" si="49"/>
        <v>0</v>
      </c>
      <c r="EP40" s="5"/>
      <c r="EQ40" s="29">
        <f t="shared" si="50"/>
        <v>0</v>
      </c>
      <c r="ER40" s="5"/>
      <c r="ES40" s="29">
        <f t="shared" si="51"/>
        <v>0</v>
      </c>
      <c r="ET40" s="5"/>
      <c r="EU40" s="29">
        <f t="shared" si="52"/>
        <v>0</v>
      </c>
      <c r="EV40" s="5"/>
      <c r="EW40" s="29">
        <f t="shared" si="65"/>
        <v>0</v>
      </c>
      <c r="EX40" s="5"/>
      <c r="EY40" s="29">
        <f t="shared" si="53"/>
        <v>0</v>
      </c>
      <c r="EZ40" s="5"/>
      <c r="FA40" s="29">
        <f t="shared" si="53"/>
        <v>0</v>
      </c>
      <c r="FB40" s="5"/>
      <c r="FC40" s="29">
        <f t="shared" si="53"/>
        <v>0</v>
      </c>
      <c r="FD40" s="5"/>
      <c r="FE40" s="29">
        <f t="shared" si="66"/>
        <v>0</v>
      </c>
      <c r="FF40" s="5"/>
      <c r="FG40" s="29">
        <f t="shared" si="54"/>
        <v>0</v>
      </c>
      <c r="FH40" s="5"/>
      <c r="FI40" s="29">
        <f t="shared" si="54"/>
        <v>0</v>
      </c>
      <c r="FJ40" s="5"/>
      <c r="FK40" s="29">
        <f t="shared" si="54"/>
        <v>0</v>
      </c>
      <c r="FL40" s="5"/>
      <c r="FM40" s="29">
        <f t="shared" si="54"/>
        <v>0</v>
      </c>
      <c r="FN40" s="5"/>
      <c r="FO40" s="29">
        <f t="shared" si="54"/>
        <v>0</v>
      </c>
      <c r="FP40" s="5"/>
      <c r="FQ40" s="29">
        <f t="shared" si="54"/>
        <v>0</v>
      </c>
      <c r="FR40" s="5"/>
      <c r="FS40" s="29">
        <f t="shared" si="55"/>
        <v>0</v>
      </c>
      <c r="FT40" s="5"/>
      <c r="FU40" s="29">
        <f t="shared" si="56"/>
        <v>0</v>
      </c>
      <c r="FV40" s="5"/>
      <c r="FW40" s="29">
        <f t="shared" si="56"/>
        <v>0</v>
      </c>
      <c r="FX40" s="5"/>
      <c r="FY40" s="29">
        <f t="shared" si="56"/>
        <v>0</v>
      </c>
      <c r="FZ40" s="5"/>
      <c r="GA40" s="29">
        <f t="shared" si="57"/>
        <v>0</v>
      </c>
      <c r="GB40" s="5"/>
      <c r="GC40" s="29">
        <f t="shared" si="58"/>
        <v>0</v>
      </c>
      <c r="GD40" s="5"/>
      <c r="GE40" s="29">
        <f t="shared" si="58"/>
        <v>0</v>
      </c>
      <c r="GF40" s="5"/>
      <c r="GG40" s="29">
        <f t="shared" si="58"/>
        <v>0</v>
      </c>
      <c r="GH40" s="5"/>
      <c r="GI40" s="29">
        <f t="shared" si="59"/>
        <v>0</v>
      </c>
      <c r="GJ40" s="5"/>
      <c r="GK40" s="29">
        <f t="shared" si="60"/>
        <v>2104.77</v>
      </c>
      <c r="GL40" s="5"/>
      <c r="GM40" s="29">
        <f t="shared" si="60"/>
        <v>0</v>
      </c>
      <c r="GN40" s="5"/>
      <c r="GO40" s="29">
        <f t="shared" si="61"/>
        <v>0</v>
      </c>
      <c r="GP40" s="5"/>
      <c r="GQ40" s="29">
        <f t="shared" si="62"/>
        <v>0</v>
      </c>
      <c r="GR40" s="5"/>
      <c r="GS40" s="29"/>
      <c r="GT40" s="5"/>
      <c r="GU40" s="29">
        <f t="shared" si="63"/>
        <v>0</v>
      </c>
    </row>
    <row r="41" spans="1:203">
      <c r="A41" s="26" t="s">
        <v>83</v>
      </c>
      <c r="C41" s="29"/>
      <c r="E41" s="29"/>
      <c r="G41" s="29"/>
      <c r="I41" s="29"/>
      <c r="K41" s="29">
        <v>7491.82</v>
      </c>
      <c r="M41" s="29"/>
      <c r="O41" s="29"/>
      <c r="Q41" s="29"/>
      <c r="S41" s="29">
        <v>4588.41</v>
      </c>
      <c r="U41" s="29"/>
      <c r="W41" s="29"/>
      <c r="Y41" s="29"/>
      <c r="AA41" s="29">
        <v>-7961.76</v>
      </c>
      <c r="AC41" s="29"/>
      <c r="AE41" s="29"/>
      <c r="AG41" s="29"/>
      <c r="AI41" s="29">
        <v>-4146.29</v>
      </c>
      <c r="AK41" s="29"/>
      <c r="AM41" s="29"/>
      <c r="AO41" s="29"/>
      <c r="AQ41" s="29">
        <v>-781</v>
      </c>
      <c r="AS41" s="29"/>
      <c r="AU41" s="29"/>
      <c r="AW41" s="29"/>
      <c r="AY41" s="29">
        <v>-1762.32</v>
      </c>
      <c r="BA41" s="29"/>
      <c r="BC41" s="29"/>
      <c r="BE41" s="29"/>
      <c r="BG41" s="29">
        <v>2907.77</v>
      </c>
      <c r="BI41" s="29"/>
      <c r="BK41" s="29"/>
      <c r="BM41" s="29">
        <v>0</v>
      </c>
      <c r="BO41" s="29">
        <v>0</v>
      </c>
      <c r="BQ41" s="29">
        <v>0</v>
      </c>
      <c r="BS41" s="29"/>
      <c r="BU41" s="29">
        <v>-1340.27</v>
      </c>
      <c r="BW41" s="29"/>
      <c r="BY41" s="29"/>
      <c r="CA41" s="29"/>
      <c r="CC41" s="29">
        <v>-1014.4</v>
      </c>
      <c r="CE41" s="29"/>
      <c r="CG41" s="29"/>
      <c r="CI41" s="29"/>
      <c r="CK41" s="29"/>
      <c r="CM41" s="29">
        <v>0</v>
      </c>
      <c r="CO41" s="29">
        <v>0</v>
      </c>
      <c r="CQ41" s="29">
        <v>0</v>
      </c>
      <c r="CS41" s="29">
        <v>-63.114199999999983</v>
      </c>
      <c r="CU41" s="29">
        <v>0</v>
      </c>
      <c r="CW41" s="29">
        <v>0</v>
      </c>
      <c r="CY41" s="29">
        <v>-166.40769999999998</v>
      </c>
      <c r="DA41" s="29">
        <v>-2274.3018999999999</v>
      </c>
      <c r="DB41" s="75"/>
      <c r="DC41" s="29"/>
      <c r="DD41" s="5"/>
      <c r="DE41" s="29"/>
      <c r="DF41" s="5"/>
      <c r="DG41" s="29"/>
      <c r="DH41" s="5"/>
      <c r="DI41" s="29"/>
      <c r="DJ41" s="5"/>
      <c r="DK41" s="29">
        <f t="shared" si="64"/>
        <v>7491.82</v>
      </c>
      <c r="DL41" s="5"/>
      <c r="DM41" s="29"/>
      <c r="DN41" s="5"/>
      <c r="DO41" s="29"/>
      <c r="DP41" s="5"/>
      <c r="DQ41" s="29"/>
      <c r="DR41" s="5"/>
      <c r="DS41" s="29">
        <f t="shared" si="44"/>
        <v>4588.41</v>
      </c>
      <c r="DT41" s="5"/>
      <c r="DU41" s="29">
        <f t="shared" si="44"/>
        <v>0</v>
      </c>
      <c r="DV41" s="5"/>
      <c r="DW41" s="29">
        <f t="shared" si="44"/>
        <v>0</v>
      </c>
      <c r="DX41" s="5"/>
      <c r="DY41" s="29">
        <f t="shared" si="45"/>
        <v>0</v>
      </c>
      <c r="DZ41" s="5"/>
      <c r="EA41" s="29">
        <f t="shared" si="46"/>
        <v>-7961.76</v>
      </c>
      <c r="EB41" s="5"/>
      <c r="EC41" s="29">
        <f t="shared" si="46"/>
        <v>0</v>
      </c>
      <c r="ED41" s="5"/>
      <c r="EE41" s="29">
        <f t="shared" si="46"/>
        <v>0</v>
      </c>
      <c r="EF41" s="5"/>
      <c r="EG41" s="29">
        <f t="shared" si="47"/>
        <v>0</v>
      </c>
      <c r="EH41" s="5"/>
      <c r="EI41" s="29">
        <f t="shared" si="48"/>
        <v>-4146.29</v>
      </c>
      <c r="EJ41" s="5"/>
      <c r="EK41" s="29">
        <f t="shared" si="48"/>
        <v>0</v>
      </c>
      <c r="EL41" s="5"/>
      <c r="EM41" s="29">
        <f t="shared" si="48"/>
        <v>0</v>
      </c>
      <c r="EN41" s="5"/>
      <c r="EO41" s="29">
        <f t="shared" si="49"/>
        <v>0</v>
      </c>
      <c r="EP41" s="5"/>
      <c r="EQ41" s="29">
        <f t="shared" si="50"/>
        <v>-781</v>
      </c>
      <c r="ER41" s="5"/>
      <c r="ES41" s="29">
        <f t="shared" si="51"/>
        <v>0</v>
      </c>
      <c r="ET41" s="5"/>
      <c r="EU41" s="29">
        <f t="shared" si="52"/>
        <v>0</v>
      </c>
      <c r="EV41" s="5"/>
      <c r="EW41" s="29">
        <f t="shared" si="65"/>
        <v>0</v>
      </c>
      <c r="EX41" s="5"/>
      <c r="EY41" s="29">
        <f t="shared" si="53"/>
        <v>-1762.32</v>
      </c>
      <c r="EZ41" s="5"/>
      <c r="FA41" s="29">
        <f t="shared" si="53"/>
        <v>0</v>
      </c>
      <c r="FB41" s="5"/>
      <c r="FC41" s="29">
        <f t="shared" si="53"/>
        <v>0</v>
      </c>
      <c r="FD41" s="5"/>
      <c r="FE41" s="29">
        <f t="shared" si="66"/>
        <v>0</v>
      </c>
      <c r="FF41" s="5"/>
      <c r="FG41" s="29">
        <f t="shared" si="54"/>
        <v>2907.77</v>
      </c>
      <c r="FH41" s="5"/>
      <c r="FI41" s="29">
        <f t="shared" si="54"/>
        <v>0</v>
      </c>
      <c r="FJ41" s="5"/>
      <c r="FK41" s="29">
        <f t="shared" si="54"/>
        <v>0</v>
      </c>
      <c r="FL41" s="5"/>
      <c r="FM41" s="29">
        <f t="shared" si="54"/>
        <v>0</v>
      </c>
      <c r="FN41" s="5"/>
      <c r="FO41" s="29">
        <f t="shared" si="54"/>
        <v>0</v>
      </c>
      <c r="FP41" s="5"/>
      <c r="FQ41" s="29">
        <f t="shared" si="54"/>
        <v>0</v>
      </c>
      <c r="FR41" s="5"/>
      <c r="FS41" s="29">
        <f t="shared" si="55"/>
        <v>0</v>
      </c>
      <c r="FT41" s="5"/>
      <c r="FU41" s="29">
        <f t="shared" si="56"/>
        <v>-1340.27</v>
      </c>
      <c r="FV41" s="5"/>
      <c r="FW41" s="29">
        <f t="shared" si="56"/>
        <v>0</v>
      </c>
      <c r="FX41" s="5"/>
      <c r="FY41" s="29">
        <f t="shared" si="56"/>
        <v>0</v>
      </c>
      <c r="FZ41" s="5"/>
      <c r="GA41" s="29">
        <f t="shared" si="57"/>
        <v>0</v>
      </c>
      <c r="GB41" s="5"/>
      <c r="GC41" s="29">
        <f t="shared" si="58"/>
        <v>-1014.4</v>
      </c>
      <c r="GD41" s="5"/>
      <c r="GE41" s="29">
        <f t="shared" si="58"/>
        <v>0</v>
      </c>
      <c r="GF41" s="5"/>
      <c r="GG41" s="29">
        <f t="shared" si="58"/>
        <v>0</v>
      </c>
      <c r="GH41" s="5"/>
      <c r="GI41" s="29">
        <f t="shared" si="59"/>
        <v>0</v>
      </c>
      <c r="GJ41" s="5"/>
      <c r="GK41" s="29">
        <f t="shared" si="60"/>
        <v>0</v>
      </c>
      <c r="GL41" s="5"/>
      <c r="GM41" s="29">
        <f t="shared" si="60"/>
        <v>0</v>
      </c>
      <c r="GN41" s="5"/>
      <c r="GO41" s="29">
        <f t="shared" si="61"/>
        <v>0</v>
      </c>
      <c r="GP41" s="5"/>
      <c r="GQ41" s="29">
        <f t="shared" si="62"/>
        <v>0</v>
      </c>
      <c r="GR41" s="5"/>
      <c r="GS41" s="29"/>
      <c r="GT41" s="5"/>
      <c r="GU41" s="29">
        <f t="shared" si="63"/>
        <v>0</v>
      </c>
    </row>
    <row r="42" spans="1:203">
      <c r="A42" s="26"/>
      <c r="C42" s="29"/>
      <c r="E42" s="29"/>
      <c r="G42" s="29"/>
      <c r="I42" s="29"/>
      <c r="K42" s="29"/>
      <c r="M42" s="29"/>
      <c r="O42" s="29"/>
      <c r="Q42" s="29"/>
      <c r="S42" s="29"/>
      <c r="U42" s="29"/>
      <c r="W42" s="29"/>
      <c r="Y42" s="29"/>
      <c r="AA42" s="29"/>
      <c r="AC42" s="29"/>
      <c r="AE42" s="29"/>
      <c r="AG42" s="29"/>
      <c r="AI42" s="29"/>
      <c r="AK42" s="29"/>
      <c r="AM42" s="29"/>
      <c r="AO42" s="29"/>
      <c r="AQ42" s="29"/>
      <c r="AS42" s="29"/>
      <c r="AU42" s="29"/>
      <c r="AW42" s="29"/>
      <c r="AY42" s="29"/>
      <c r="BA42" s="29"/>
      <c r="BC42" s="29"/>
      <c r="BE42" s="29"/>
      <c r="BG42" s="29"/>
      <c r="BI42" s="29"/>
      <c r="BK42" s="29"/>
      <c r="BM42" s="29"/>
      <c r="BO42" s="29"/>
      <c r="BQ42" s="29"/>
      <c r="BS42" s="29"/>
      <c r="BU42" s="29"/>
      <c r="BW42" s="29"/>
      <c r="BY42" s="29"/>
      <c r="CA42" s="29"/>
      <c r="CC42" s="29"/>
      <c r="CE42" s="29"/>
      <c r="CG42" s="29"/>
      <c r="CI42" s="29"/>
      <c r="CK42" s="29"/>
      <c r="CM42" s="29"/>
      <c r="CO42" s="29"/>
      <c r="CQ42" s="29"/>
      <c r="CS42" s="29"/>
      <c r="CU42" s="29"/>
      <c r="CW42" s="29"/>
      <c r="CY42" s="29"/>
      <c r="DA42" s="29"/>
      <c r="DB42" s="75"/>
      <c r="DC42" s="29"/>
      <c r="DD42" s="5"/>
      <c r="DE42" s="29"/>
      <c r="DF42" s="5"/>
      <c r="DG42" s="29"/>
      <c r="DH42" s="5"/>
      <c r="DI42" s="29"/>
      <c r="DJ42" s="5"/>
      <c r="DK42" s="29"/>
      <c r="DL42" s="5"/>
      <c r="DM42" s="29"/>
      <c r="DN42" s="5"/>
      <c r="DO42" s="29"/>
      <c r="DP42" s="5"/>
      <c r="DQ42" s="29"/>
      <c r="DR42" s="5"/>
      <c r="DS42" s="29"/>
      <c r="DT42" s="5"/>
      <c r="DU42" s="29"/>
      <c r="DV42" s="5"/>
      <c r="DW42" s="29"/>
      <c r="DX42" s="5"/>
      <c r="DY42" s="29"/>
      <c r="DZ42" s="5"/>
      <c r="EA42" s="29"/>
      <c r="EB42" s="5"/>
      <c r="EC42" s="29"/>
      <c r="ED42" s="5"/>
      <c r="EE42" s="29"/>
      <c r="EF42" s="5"/>
      <c r="EG42" s="29"/>
      <c r="EH42" s="5"/>
      <c r="EI42" s="29"/>
      <c r="EJ42" s="5"/>
      <c r="EK42" s="29"/>
      <c r="EL42" s="5"/>
      <c r="EM42" s="29"/>
      <c r="EN42" s="5"/>
      <c r="EO42" s="29"/>
      <c r="EP42" s="5"/>
      <c r="EQ42" s="29"/>
      <c r="ER42" s="5"/>
      <c r="ES42" s="29"/>
      <c r="ET42" s="5"/>
      <c r="EU42" s="29"/>
      <c r="EV42" s="5"/>
      <c r="EW42" s="29"/>
      <c r="EX42" s="5"/>
      <c r="EY42" s="29"/>
      <c r="EZ42" s="5"/>
      <c r="FA42" s="29"/>
      <c r="FB42" s="5"/>
      <c r="FC42" s="29"/>
      <c r="FD42" s="5"/>
      <c r="FE42" s="29"/>
      <c r="FF42" s="5"/>
      <c r="FG42" s="29"/>
      <c r="FH42" s="5"/>
      <c r="FI42" s="29"/>
      <c r="FJ42" s="5"/>
      <c r="FK42" s="29"/>
      <c r="FL42" s="5"/>
      <c r="FM42" s="29"/>
      <c r="FN42" s="5"/>
      <c r="FO42" s="29"/>
      <c r="FP42" s="5"/>
      <c r="FQ42" s="29"/>
      <c r="FR42" s="5"/>
      <c r="FS42" s="29"/>
      <c r="FT42" s="5"/>
      <c r="FU42" s="29"/>
      <c r="FV42" s="5"/>
      <c r="FW42" s="29"/>
      <c r="FX42" s="5"/>
      <c r="FY42" s="29"/>
      <c r="FZ42" s="5"/>
      <c r="GA42" s="29"/>
      <c r="GB42" s="5"/>
      <c r="GC42" s="29"/>
      <c r="GD42" s="5"/>
      <c r="GE42" s="29"/>
      <c r="GF42" s="5"/>
      <c r="GG42" s="29"/>
      <c r="GH42" s="5"/>
      <c r="GI42" s="29"/>
      <c r="GJ42" s="5"/>
      <c r="GK42" s="29"/>
      <c r="GL42" s="5"/>
      <c r="GM42" s="29"/>
      <c r="GN42" s="5"/>
      <c r="GO42" s="29"/>
      <c r="GP42" s="5"/>
      <c r="GQ42" s="29"/>
      <c r="GR42" s="5"/>
      <c r="GS42" s="29"/>
      <c r="GT42" s="5"/>
      <c r="GU42" s="29"/>
    </row>
    <row r="43" spans="1:203" ht="13">
      <c r="A43" s="25" t="s">
        <v>84</v>
      </c>
      <c r="B43" s="39"/>
      <c r="C43" s="31"/>
      <c r="D43" s="39"/>
      <c r="E43" s="31"/>
      <c r="F43" s="39"/>
      <c r="G43" s="31"/>
      <c r="H43" s="39"/>
      <c r="I43" s="31">
        <f>SUM(I34:I41)</f>
        <v>0</v>
      </c>
      <c r="J43" s="39"/>
      <c r="K43" s="31">
        <f>SUM(K34:K41)</f>
        <v>-31938.800000000003</v>
      </c>
      <c r="L43" s="39"/>
      <c r="M43" s="31">
        <f>SUM(M34:M41)</f>
        <v>0</v>
      </c>
      <c r="N43" s="39"/>
      <c r="O43" s="31">
        <f>SUM(O34:O41)</f>
        <v>0</v>
      </c>
      <c r="P43" s="39"/>
      <c r="Q43" s="31">
        <f>SUM(Q34:Q41)</f>
        <v>0</v>
      </c>
      <c r="R43" s="39"/>
      <c r="S43" s="31">
        <f>SUM(S34:S41)</f>
        <v>-19561.14</v>
      </c>
      <c r="T43" s="39"/>
      <c r="U43" s="31">
        <f>SUM(U34:U41)</f>
        <v>0</v>
      </c>
      <c r="V43" s="39"/>
      <c r="W43" s="31">
        <f>SUM(W34:W41)</f>
        <v>0</v>
      </c>
      <c r="X43" s="39"/>
      <c r="Y43" s="31">
        <f>SUM(Y34:Y41)</f>
        <v>0</v>
      </c>
      <c r="Z43" s="39"/>
      <c r="AA43" s="31">
        <f>SUM(AA34:AA41)</f>
        <v>33942.22</v>
      </c>
      <c r="AB43" s="39"/>
      <c r="AC43" s="31">
        <f>SUM(AC34:AC41)</f>
        <v>0</v>
      </c>
      <c r="AD43" s="39"/>
      <c r="AE43" s="31">
        <f>SUM(AE34:AE41)</f>
        <v>0</v>
      </c>
      <c r="AF43" s="39"/>
      <c r="AG43" s="31">
        <f>SUM(AG34:AG41)</f>
        <v>0</v>
      </c>
      <c r="AH43" s="39"/>
      <c r="AI43" s="31">
        <f>SUM(AI34:AI41)</f>
        <v>17676.29</v>
      </c>
      <c r="AJ43" s="39"/>
      <c r="AK43" s="31">
        <f>SUM(AK34:AK41)</f>
        <v>0</v>
      </c>
      <c r="AL43" s="39"/>
      <c r="AM43" s="31">
        <f>SUM(AM34:AM41)</f>
        <v>0</v>
      </c>
      <c r="AN43" s="39"/>
      <c r="AO43" s="31">
        <f>SUM(AO34:AO41)</f>
        <v>0</v>
      </c>
      <c r="AP43" s="39"/>
      <c r="AQ43" s="31">
        <f>SUM(AQ34:AQ41)</f>
        <v>3329.5200000000004</v>
      </c>
      <c r="AR43" s="39"/>
      <c r="AS43" s="31">
        <f>SUM(AS34:AS41)</f>
        <v>0</v>
      </c>
      <c r="AT43" s="39"/>
      <c r="AU43" s="31">
        <f>SUM(AU34:AU41)</f>
        <v>0</v>
      </c>
      <c r="AV43" s="39"/>
      <c r="AW43" s="31">
        <f>SUM(AW34:AW41)</f>
        <v>0</v>
      </c>
      <c r="AX43" s="39"/>
      <c r="AY43" s="31">
        <f>SUM(AY34:AY41)</f>
        <v>7513.0300000000007</v>
      </c>
      <c r="AZ43" s="39"/>
      <c r="BA43" s="31">
        <f>SUM(BA34:BA41)</f>
        <v>0</v>
      </c>
      <c r="BB43" s="39"/>
      <c r="BC43" s="31">
        <f>SUM(BC34:BC41)</f>
        <v>0</v>
      </c>
      <c r="BD43" s="39"/>
      <c r="BE43" s="31">
        <f>SUM(BE34:BE41)</f>
        <v>0</v>
      </c>
      <c r="BF43" s="39"/>
      <c r="BG43" s="31">
        <f>SUM(BG34:BG41)</f>
        <v>-12396.279999999999</v>
      </c>
      <c r="BH43" s="39"/>
      <c r="BI43" s="31">
        <f>SUM(BI34:BI41)</f>
        <v>0</v>
      </c>
      <c r="BJ43" s="39"/>
      <c r="BK43" s="31"/>
      <c r="BL43" s="39"/>
      <c r="BM43" s="31"/>
      <c r="BN43" s="39"/>
      <c r="BO43" s="31"/>
      <c r="BP43" s="39"/>
      <c r="BQ43" s="31"/>
      <c r="BR43" s="39"/>
      <c r="BS43" s="31"/>
      <c r="BT43" s="39"/>
      <c r="BU43" s="31">
        <f>SUM(BU34:BU41)</f>
        <v>5713.7900000000009</v>
      </c>
      <c r="BV43" s="39"/>
      <c r="BW43" s="31">
        <f>SUM(BW34:BW41)</f>
        <v>0</v>
      </c>
      <c r="BX43" s="39"/>
      <c r="BY43" s="31"/>
      <c r="BZ43" s="39"/>
      <c r="CA43" s="31"/>
      <c r="CB43" s="39"/>
      <c r="CC43" s="31">
        <f>SUM(CC34:CC41)</f>
        <v>4324.5</v>
      </c>
      <c r="CD43" s="39"/>
      <c r="CE43" s="31">
        <f>SUM(CE34:CE41)</f>
        <v>0</v>
      </c>
      <c r="CF43" s="39"/>
      <c r="CG43" s="31">
        <f>SUM(CG34:CG41)</f>
        <v>0</v>
      </c>
      <c r="CH43" s="39"/>
      <c r="CI43" s="31">
        <f>SUM(CI34:CI41)</f>
        <v>0</v>
      </c>
      <c r="CJ43" s="39"/>
      <c r="CK43" s="31">
        <f>SUM(CK34:CK41)</f>
        <v>-8972.89</v>
      </c>
      <c r="CL43" s="39"/>
      <c r="CM43" s="31">
        <f>SUM(CM34:CM41)</f>
        <v>0</v>
      </c>
      <c r="CN43" s="39"/>
      <c r="CO43" s="31">
        <f>SUM(CO34:CO41)</f>
        <v>0</v>
      </c>
      <c r="CP43" s="39"/>
      <c r="CQ43" s="31">
        <f>SUM(CQ34:CQ41)</f>
        <v>0</v>
      </c>
      <c r="CR43" s="39"/>
      <c r="CS43" s="31">
        <f>SUM(CS34:CS41)</f>
        <v>269.06580000000002</v>
      </c>
      <c r="CT43" s="39"/>
      <c r="CU43" s="31">
        <f>SUM(CU34:CU41)</f>
        <v>0</v>
      </c>
      <c r="CV43" s="39"/>
      <c r="CW43" s="31">
        <f>SUM(CW34:CW41)</f>
        <v>0</v>
      </c>
      <c r="CX43" s="39"/>
      <c r="CY43" s="31">
        <f>SUM(CY34:CY41)</f>
        <v>709.42230000000006</v>
      </c>
      <c r="CZ43" s="39"/>
      <c r="DA43" s="31">
        <f>SUM(DA34:DA41)</f>
        <v>9695.7080999999998</v>
      </c>
      <c r="DB43" s="75"/>
      <c r="DC43" s="31"/>
      <c r="DD43" s="5"/>
      <c r="DE43" s="31"/>
      <c r="DF43" s="5"/>
      <c r="DG43" s="31"/>
      <c r="DH43" s="5"/>
      <c r="DI43" s="31">
        <f>SUM(DI34:DI41)</f>
        <v>0</v>
      </c>
      <c r="DJ43" s="5"/>
      <c r="DK43" s="31">
        <f>SUM(DK34:DK41)</f>
        <v>-31938.800000000003</v>
      </c>
      <c r="DL43" s="5"/>
      <c r="DM43" s="31">
        <f>SUM(DM34:DM41)</f>
        <v>0</v>
      </c>
      <c r="DN43" s="5"/>
      <c r="DO43" s="31">
        <f>SUM(DO34:DO41)</f>
        <v>0</v>
      </c>
      <c r="DP43" s="5"/>
      <c r="DQ43" s="31">
        <f>SUM(DQ34:DQ41)</f>
        <v>0</v>
      </c>
      <c r="DR43" s="5"/>
      <c r="DS43" s="31">
        <f>SUM(DS34:DS41)</f>
        <v>-19561.14</v>
      </c>
      <c r="DT43" s="5"/>
      <c r="DU43" s="31">
        <f>SUM(DU34:DU41)</f>
        <v>0</v>
      </c>
      <c r="DV43" s="5"/>
      <c r="DW43" s="31">
        <f>SUM(DW34:DW41)</f>
        <v>0</v>
      </c>
      <c r="DX43" s="5"/>
      <c r="DY43" s="31">
        <f>SUM(DY34:DY41)</f>
        <v>0</v>
      </c>
      <c r="DZ43" s="5"/>
      <c r="EA43" s="31">
        <f>SUM(EA34:EA41)</f>
        <v>33942.22</v>
      </c>
      <c r="EB43" s="5"/>
      <c r="EC43" s="31">
        <f>SUM(EC34:EC41)</f>
        <v>0</v>
      </c>
      <c r="ED43" s="5"/>
      <c r="EE43" s="31">
        <f>SUM(EE34:EE41)</f>
        <v>0</v>
      </c>
      <c r="EF43" s="5"/>
      <c r="EG43" s="31">
        <f>SUM(EG34:EG41)</f>
        <v>0</v>
      </c>
      <c r="EH43" s="5"/>
      <c r="EI43" s="31">
        <f>SUM(EI34:EI41)</f>
        <v>17676.29</v>
      </c>
      <c r="EJ43" s="5"/>
      <c r="EK43" s="31">
        <f>SUM(EK34:EK41)</f>
        <v>0</v>
      </c>
      <c r="EL43" s="5"/>
      <c r="EM43" s="31">
        <f>SUM(EM34:EM41)</f>
        <v>0</v>
      </c>
      <c r="EN43" s="5"/>
      <c r="EO43" s="31">
        <f>SUM(EO34:EO41)</f>
        <v>0</v>
      </c>
      <c r="EP43" s="5"/>
      <c r="EQ43" s="31">
        <f>SUM(EQ34:EQ41)</f>
        <v>3329.5200000000004</v>
      </c>
      <c r="ER43" s="5"/>
      <c r="ES43" s="31">
        <f>SUM(ES34:ES41)</f>
        <v>0</v>
      </c>
      <c r="ET43" s="5"/>
      <c r="EU43" s="31">
        <f>SUM(EU34:EU41)</f>
        <v>0</v>
      </c>
      <c r="EV43" s="5"/>
      <c r="EW43" s="31">
        <f>SUM(EW34:EW41)</f>
        <v>0</v>
      </c>
      <c r="EX43" s="5"/>
      <c r="EY43" s="31">
        <f>SUM(EY34:EY41)</f>
        <v>7513.0300000000007</v>
      </c>
      <c r="EZ43" s="5"/>
      <c r="FA43" s="31">
        <f>SUM(FA34:FA41)</f>
        <v>0</v>
      </c>
      <c r="FB43" s="5"/>
      <c r="FC43" s="31">
        <f>SUM(FC34:FC41)</f>
        <v>0</v>
      </c>
      <c r="FD43" s="5"/>
      <c r="FE43" s="31">
        <f>SUM(FE34:FE41)</f>
        <v>0</v>
      </c>
      <c r="FF43" s="5"/>
      <c r="FG43" s="31">
        <f>SUM(FG34:FG41)</f>
        <v>-12396.279999999999</v>
      </c>
      <c r="FH43" s="5"/>
      <c r="FI43" s="31">
        <f>SUM(FI34:FI41)</f>
        <v>0</v>
      </c>
      <c r="FJ43" s="5"/>
      <c r="FK43" s="31">
        <f>SUM(FK34:FK41)</f>
        <v>0</v>
      </c>
      <c r="FL43" s="5"/>
      <c r="FM43" s="31">
        <f>SUM(FM34:FM41)</f>
        <v>0</v>
      </c>
      <c r="FN43" s="5"/>
      <c r="FO43" s="31">
        <f>SUM(FO34:FO41)</f>
        <v>0</v>
      </c>
      <c r="FP43" s="5"/>
      <c r="FQ43" s="31">
        <f>SUM(FQ34:FQ41)</f>
        <v>0</v>
      </c>
      <c r="FR43" s="5"/>
      <c r="FS43" s="31">
        <f>SUM(FS34:FS41)</f>
        <v>0</v>
      </c>
      <c r="FT43" s="5"/>
      <c r="FU43" s="31">
        <f>SUM(FU34:FU41)</f>
        <v>5713.7900000000009</v>
      </c>
      <c r="FV43" s="5"/>
      <c r="FW43" s="31">
        <f>SUM(FW34:FW41)</f>
        <v>0</v>
      </c>
      <c r="FX43" s="5"/>
      <c r="FY43" s="31">
        <f>SUM(FY34:FY41)</f>
        <v>0</v>
      </c>
      <c r="FZ43" s="5"/>
      <c r="GA43" s="31">
        <f>SUM(GA34:GA41)</f>
        <v>0</v>
      </c>
      <c r="GB43" s="5"/>
      <c r="GC43" s="31">
        <f>SUM(GC34:GC41)</f>
        <v>4324.5</v>
      </c>
      <c r="GD43" s="5"/>
      <c r="GE43" s="31">
        <f>SUM(GE34:GE41)</f>
        <v>0</v>
      </c>
      <c r="GF43" s="5"/>
      <c r="GG43" s="31">
        <f>SUM(GG34:GG41)</f>
        <v>0</v>
      </c>
      <c r="GH43" s="5"/>
      <c r="GI43" s="31">
        <f>SUM(GI34:GI41)</f>
        <v>0</v>
      </c>
      <c r="GJ43" s="5"/>
      <c r="GK43" s="31">
        <f>SUM(GK34:GK41)</f>
        <v>-8972.89</v>
      </c>
      <c r="GL43" s="5"/>
      <c r="GM43" s="31">
        <f>SUM(GM34:GM41)</f>
        <v>0</v>
      </c>
      <c r="GN43" s="5"/>
      <c r="GO43" s="31">
        <f>SUM(GO34:GO41)</f>
        <v>0</v>
      </c>
      <c r="GP43" s="5"/>
      <c r="GQ43" s="31">
        <f>SUM(GQ34:GQ41)</f>
        <v>0</v>
      </c>
      <c r="GR43" s="5"/>
      <c r="GS43" s="31"/>
      <c r="GT43" s="5"/>
      <c r="GU43" s="31">
        <f>SUM(GU34:GU41)</f>
        <v>0</v>
      </c>
    </row>
    <row r="44" spans="1:203">
      <c r="A44" s="26"/>
      <c r="C44" s="29"/>
      <c r="E44" s="29"/>
      <c r="G44" s="29"/>
      <c r="I44" s="29"/>
      <c r="K44" s="29"/>
      <c r="M44" s="29"/>
      <c r="O44" s="29"/>
      <c r="Q44" s="29"/>
      <c r="S44" s="29"/>
      <c r="U44" s="29"/>
      <c r="W44" s="29"/>
      <c r="Y44" s="29"/>
      <c r="AA44" s="29"/>
      <c r="AC44" s="29"/>
      <c r="AE44" s="29"/>
      <c r="AG44" s="29"/>
      <c r="AI44" s="29"/>
      <c r="AK44" s="29"/>
      <c r="AM44" s="29"/>
      <c r="AO44" s="29"/>
      <c r="AQ44" s="29"/>
      <c r="AS44" s="29"/>
      <c r="AU44" s="29"/>
      <c r="AW44" s="29"/>
      <c r="AY44" s="29"/>
      <c r="BA44" s="29"/>
      <c r="BC44" s="29"/>
      <c r="BE44" s="29"/>
      <c r="BG44" s="29"/>
      <c r="BI44" s="29"/>
      <c r="BK44" s="29"/>
      <c r="BM44" s="29"/>
      <c r="BO44" s="29"/>
      <c r="BQ44" s="29"/>
      <c r="BS44" s="29"/>
      <c r="BU44" s="29"/>
      <c r="BW44" s="29"/>
      <c r="BY44" s="29"/>
      <c r="CA44" s="29"/>
      <c r="CC44" s="29"/>
      <c r="CE44" s="29"/>
      <c r="CG44" s="29"/>
      <c r="CI44" s="29"/>
      <c r="CK44" s="29"/>
      <c r="CM44" s="29"/>
      <c r="CO44" s="29"/>
      <c r="CQ44" s="29"/>
      <c r="CS44" s="29"/>
      <c r="CU44" s="29"/>
      <c r="CW44" s="29"/>
      <c r="CY44" s="29"/>
      <c r="DA44" s="29"/>
      <c r="DB44" s="75"/>
      <c r="DC44" s="29"/>
      <c r="DD44" s="5"/>
      <c r="DE44" s="29"/>
      <c r="DF44" s="5"/>
      <c r="DG44" s="29"/>
      <c r="DH44" s="5"/>
      <c r="DI44" s="29"/>
      <c r="DJ44" s="5"/>
      <c r="DK44" s="29"/>
      <c r="DL44" s="5"/>
      <c r="DM44" s="29"/>
      <c r="DN44" s="5"/>
      <c r="DO44" s="29"/>
      <c r="DP44" s="5"/>
      <c r="DQ44" s="29"/>
      <c r="DR44" s="5"/>
      <c r="DS44" s="29"/>
      <c r="DT44" s="5"/>
      <c r="DU44" s="29"/>
      <c r="DV44" s="5"/>
      <c r="DW44" s="29"/>
      <c r="DX44" s="5"/>
      <c r="DY44" s="29"/>
      <c r="DZ44" s="5"/>
      <c r="EA44" s="29"/>
      <c r="EB44" s="5"/>
      <c r="EC44" s="29"/>
      <c r="ED44" s="5"/>
      <c r="EE44" s="29"/>
      <c r="EF44" s="5"/>
      <c r="EG44" s="29"/>
      <c r="EH44" s="5"/>
      <c r="EI44" s="29"/>
      <c r="EJ44" s="5"/>
      <c r="EK44" s="29"/>
      <c r="EL44" s="5"/>
      <c r="EM44" s="29"/>
      <c r="EN44" s="5"/>
      <c r="EO44" s="29"/>
      <c r="EP44" s="5"/>
      <c r="EQ44" s="29"/>
      <c r="ER44" s="5"/>
      <c r="ES44" s="29"/>
      <c r="ET44" s="5"/>
      <c r="EU44" s="29"/>
      <c r="EV44" s="5"/>
      <c r="EW44" s="29"/>
      <c r="EX44" s="5"/>
      <c r="EY44" s="29"/>
      <c r="EZ44" s="5"/>
      <c r="FA44" s="29"/>
      <c r="FB44" s="5"/>
      <c r="FC44" s="29"/>
      <c r="FD44" s="5"/>
      <c r="FE44" s="29"/>
      <c r="FF44" s="5"/>
      <c r="FG44" s="29"/>
      <c r="FH44" s="5"/>
      <c r="FI44" s="29"/>
      <c r="FJ44" s="5"/>
      <c r="FK44" s="29"/>
      <c r="FL44" s="5"/>
      <c r="FM44" s="29"/>
      <c r="FN44" s="5"/>
      <c r="FO44" s="29"/>
      <c r="FP44" s="5"/>
      <c r="FQ44" s="29"/>
      <c r="FR44" s="5"/>
      <c r="FS44" s="29"/>
      <c r="FT44" s="5"/>
      <c r="FU44" s="29"/>
      <c r="FV44" s="5"/>
      <c r="FW44" s="29"/>
      <c r="FX44" s="5"/>
      <c r="FY44" s="29"/>
      <c r="FZ44" s="5"/>
      <c r="GA44" s="29"/>
      <c r="GB44" s="5"/>
      <c r="GC44" s="29"/>
      <c r="GD44" s="5"/>
      <c r="GE44" s="29"/>
      <c r="GF44" s="5"/>
      <c r="GG44" s="29"/>
      <c r="GH44" s="5"/>
      <c r="GI44" s="29"/>
      <c r="GJ44" s="5"/>
      <c r="GK44" s="29"/>
      <c r="GL44" s="5"/>
      <c r="GM44" s="29"/>
      <c r="GN44" s="5"/>
      <c r="GO44" s="29"/>
      <c r="GP44" s="5"/>
      <c r="GQ44" s="29"/>
      <c r="GR44" s="5"/>
      <c r="GS44" s="29"/>
      <c r="GT44" s="5"/>
      <c r="GU44" s="29"/>
    </row>
    <row r="45" spans="1:203" ht="13" thickBot="1">
      <c r="A45" s="25" t="s">
        <v>85</v>
      </c>
      <c r="C45" s="35"/>
      <c r="E45" s="35"/>
      <c r="G45" s="35"/>
      <c r="I45" s="35">
        <f>I32+I43</f>
        <v>27773582.100000009</v>
      </c>
      <c r="K45" s="35">
        <f>K32+K43</f>
        <v>77491431.129999965</v>
      </c>
      <c r="M45" s="35">
        <f>M32+M43</f>
        <v>59591083.960000008</v>
      </c>
      <c r="O45" s="35">
        <f>O32+O43</f>
        <v>52702027.670000017</v>
      </c>
      <c r="Q45" s="35">
        <f>Q32+Q43</f>
        <v>23988700.339999996</v>
      </c>
      <c r="S45" s="35">
        <f>S32+S43</f>
        <v>25906854.959999986</v>
      </c>
      <c r="U45" s="35">
        <f>U32+U43</f>
        <v>16948747.740000021</v>
      </c>
      <c r="W45" s="35">
        <f>W32+W43</f>
        <v>11855457.070000008</v>
      </c>
      <c r="Y45" s="35">
        <f>Y32+Y43</f>
        <v>11640838.140000014</v>
      </c>
      <c r="AA45" s="35">
        <f>AA32+AA43</f>
        <v>1485665.6800000269</v>
      </c>
      <c r="AC45" s="35">
        <f>AC32+AC43</f>
        <v>22432.339999993565</v>
      </c>
      <c r="AE45" s="35">
        <f>AE32+AE43</f>
        <v>768616.62000000593</v>
      </c>
      <c r="AG45" s="35">
        <f>AG32+AG43</f>
        <v>883756.3600000015</v>
      </c>
      <c r="AI45" s="35">
        <f>AI32+AI43</f>
        <v>4395139.7899999963</v>
      </c>
      <c r="AK45" s="35">
        <f>AK32+AK43</f>
        <v>2709895.1400000043</v>
      </c>
      <c r="AM45" s="35">
        <f>AM32+AM43</f>
        <v>4486922.9000000013</v>
      </c>
      <c r="AO45" s="35">
        <f>AO32+AO43</f>
        <v>3135994.9800000009</v>
      </c>
      <c r="AQ45" s="35">
        <f>AQ32+AQ43</f>
        <v>5403675.2800000031</v>
      </c>
      <c r="AS45" s="35">
        <f>AS32+AS43</f>
        <v>3252122.5599999893</v>
      </c>
      <c r="AU45" s="35">
        <f>AU32+AU43</f>
        <v>2914349.1800000118</v>
      </c>
      <c r="AW45" s="35">
        <f>AW32+AW43</f>
        <v>1436802.6300000034</v>
      </c>
      <c r="AY45" s="35">
        <f>AY32+AY43</f>
        <v>7794334.4300000146</v>
      </c>
      <c r="BA45" s="35">
        <f>BA32+BA43</f>
        <v>8535697.2100000121</v>
      </c>
      <c r="BC45" s="35">
        <f>BC32+BC43</f>
        <v>8799682.7899999786</v>
      </c>
      <c r="BE45" s="35">
        <f>BE32+BE43</f>
        <v>8080416.2299999911</v>
      </c>
      <c r="BG45" s="35">
        <f>BG32+BG43</f>
        <v>-2474213.9400000027</v>
      </c>
      <c r="BI45" s="35">
        <f>BI32+BI43</f>
        <v>617535.09000000579</v>
      </c>
      <c r="BK45" s="35">
        <f>BK32+BK43</f>
        <v>1557930.8199999977</v>
      </c>
      <c r="BM45" s="35">
        <f>BM32+BM43</f>
        <v>1796943.8699999894</v>
      </c>
      <c r="BO45" s="35">
        <f>BO32+BO43</f>
        <v>-909325.13999999873</v>
      </c>
      <c r="BQ45" s="35">
        <f>BQ32+BQ43</f>
        <v>-474948.0999999987</v>
      </c>
      <c r="BS45" s="35">
        <f>BS32+BS43</f>
        <v>-298660.61</v>
      </c>
      <c r="BU45" s="35">
        <f>BU32+BU43</f>
        <v>1343096.6399999969</v>
      </c>
      <c r="BW45" s="35">
        <f>BW32+BW43</f>
        <v>-1751617.5800000015</v>
      </c>
      <c r="BY45" s="35">
        <f>BY32+BY43</f>
        <v>-1643631.1899999972</v>
      </c>
      <c r="CA45" s="35">
        <f>CA32+CA43</f>
        <v>-781618.60999999871</v>
      </c>
      <c r="CC45" s="35">
        <f>CC32+CC43</f>
        <v>-761674.60999999649</v>
      </c>
      <c r="CE45" s="35">
        <f>CE32+CE43</f>
        <v>-1409124.3700000006</v>
      </c>
      <c r="CG45" s="35">
        <f>CG32+CG43</f>
        <v>-3638914.8599999994</v>
      </c>
      <c r="CI45" s="35">
        <f>CI32+CI43</f>
        <v>-838559.30999999947</v>
      </c>
      <c r="CK45" s="35">
        <f>CK32+CK43</f>
        <v>1033513.6999999975</v>
      </c>
      <c r="CM45" s="35">
        <f>CM32+CM43</f>
        <v>-792974.71154762816</v>
      </c>
      <c r="CO45" s="35">
        <f>CO32+CO43</f>
        <v>-506652.20697158843</v>
      </c>
      <c r="CQ45" s="35">
        <f>CQ32+CQ43</f>
        <v>-742152.96923441545</v>
      </c>
      <c r="CS45" s="35">
        <f>CS32+CS43</f>
        <v>3292360.5252606524</v>
      </c>
      <c r="CU45" s="35">
        <f>CU32+CU43</f>
        <v>273148.76892915944</v>
      </c>
      <c r="CW45" s="35">
        <f>CW32+CW43</f>
        <v>-1261724.008810391</v>
      </c>
      <c r="CY45" s="35">
        <f>CY32+CY43</f>
        <v>838696.89718788955</v>
      </c>
      <c r="DA45" s="35">
        <f>DA32+DA43</f>
        <v>549219.36347331095</v>
      </c>
      <c r="DB45" s="75"/>
      <c r="DC45" s="35"/>
      <c r="DD45" s="5"/>
      <c r="DE45" s="35"/>
      <c r="DF45" s="5"/>
      <c r="DG45" s="35"/>
      <c r="DH45" s="5"/>
      <c r="DI45" s="35">
        <f>DI32+DI43</f>
        <v>27773582.100000009</v>
      </c>
      <c r="DJ45" s="5"/>
      <c r="DK45" s="35">
        <f>DK32+DK43</f>
        <v>17900347.170000013</v>
      </c>
      <c r="DL45" s="5"/>
      <c r="DM45" s="35">
        <f>DM32+DM43</f>
        <v>6889056.2900000215</v>
      </c>
      <c r="DN45" s="5"/>
      <c r="DO45" s="35">
        <f>DO32+DO43</f>
        <v>28713327.329999983</v>
      </c>
      <c r="DP45" s="5"/>
      <c r="DQ45" s="35">
        <f>DQ32+DQ43</f>
        <v>23988700.339999996</v>
      </c>
      <c r="DR45" s="5"/>
      <c r="DS45" s="35">
        <f>DS32+DS43</f>
        <v>8958107.2199999951</v>
      </c>
      <c r="DT45" s="5"/>
      <c r="DU45" s="35">
        <f>DU32+DU43</f>
        <v>5093290.6700000009</v>
      </c>
      <c r="DV45" s="5"/>
      <c r="DW45" s="35">
        <f>DW32+DW43</f>
        <v>214618.93000001041</v>
      </c>
      <c r="DX45" s="5"/>
      <c r="DY45" s="35">
        <f>DY32+DY43</f>
        <v>11640838.140000014</v>
      </c>
      <c r="DZ45" s="5"/>
      <c r="EA45" s="35">
        <f>EA32+EA43</f>
        <v>1463233.3400000187</v>
      </c>
      <c r="EB45" s="5"/>
      <c r="EC45" s="35">
        <f>EC32+EC43</f>
        <v>-746184.28000000503</v>
      </c>
      <c r="ED45" s="5"/>
      <c r="EE45" s="35">
        <f>EE32+EE43</f>
        <v>-115139.73999999568</v>
      </c>
      <c r="EF45" s="5"/>
      <c r="EG45" s="35">
        <f>EG32+EG43</f>
        <v>883756.3600000015</v>
      </c>
      <c r="EH45" s="5"/>
      <c r="EI45" s="35">
        <f>EI32+EI43</f>
        <v>1685244.65</v>
      </c>
      <c r="EJ45" s="5"/>
      <c r="EK45" s="35">
        <f>EK32+EK43</f>
        <v>-1777027.7600000007</v>
      </c>
      <c r="EL45" s="5"/>
      <c r="EM45" s="35">
        <f>EM32+EM43</f>
        <v>1350927.9200000002</v>
      </c>
      <c r="EN45" s="5"/>
      <c r="EO45" s="35">
        <f>EO32+EO43</f>
        <v>3135994.9800000009</v>
      </c>
      <c r="EP45" s="5"/>
      <c r="EQ45" s="35">
        <f>EQ32+EQ43</f>
        <v>2151552.7199999914</v>
      </c>
      <c r="ER45" s="5"/>
      <c r="ES45" s="35">
        <f>ES32+ES43</f>
        <v>337773.37999999226</v>
      </c>
      <c r="ET45" s="5"/>
      <c r="EU45" s="35">
        <f>EU32+EU43</f>
        <v>1477546.5500000047</v>
      </c>
      <c r="EV45" s="5"/>
      <c r="EW45" s="35">
        <f>EW32+EW43</f>
        <v>1436802.6300000034</v>
      </c>
      <c r="EX45" s="5"/>
      <c r="EY45" s="35">
        <f>EY32+EY43</f>
        <v>-741362.78000000259</v>
      </c>
      <c r="EZ45" s="5"/>
      <c r="FA45" s="35">
        <f>FA32+FA43</f>
        <v>-263985.5799999939</v>
      </c>
      <c r="FB45" s="5"/>
      <c r="FC45" s="35">
        <f>FC32+FC43</f>
        <v>719266.56000000075</v>
      </c>
      <c r="FD45" s="5"/>
      <c r="FE45" s="35">
        <f>FE32+FE43</f>
        <v>8080416.2299999911</v>
      </c>
      <c r="FF45" s="5"/>
      <c r="FG45" s="35">
        <f>FG32+FG43</f>
        <v>-848898.75000000675</v>
      </c>
      <c r="FH45" s="5"/>
      <c r="FI45" s="35">
        <f>FI32+FI43</f>
        <v>-940395.72999999765</v>
      </c>
      <c r="FJ45" s="5"/>
      <c r="FK45" s="35">
        <f>FK32+FK43</f>
        <v>-239013.04999999842</v>
      </c>
      <c r="FL45" s="5"/>
      <c r="FM45" s="35">
        <f>FM32+FM43</f>
        <v>2706269.0099999919</v>
      </c>
      <c r="FN45" s="5"/>
      <c r="FO45" s="35">
        <f>FO32+FO43</f>
        <v>-434377.04000000004</v>
      </c>
      <c r="FP45" s="5"/>
      <c r="FQ45" s="35">
        <f>FQ32+FQ43</f>
        <v>-176287.48999999862</v>
      </c>
      <c r="FR45" s="5"/>
      <c r="FS45" s="35">
        <f>FS32+FS43</f>
        <v>-298660.61</v>
      </c>
      <c r="FT45" s="5"/>
      <c r="FU45" s="35">
        <f>FU32+FU43</f>
        <v>3094714.2199999979</v>
      </c>
      <c r="FV45" s="5"/>
      <c r="FW45" s="35">
        <f>FW32+FW43</f>
        <v>-107986.39000000051</v>
      </c>
      <c r="FX45" s="5"/>
      <c r="FY45" s="35">
        <f>FY32+FY43</f>
        <v>-862012.58000000031</v>
      </c>
      <c r="FZ45" s="5"/>
      <c r="GA45" s="35">
        <f>GA32+GA43</f>
        <v>-781618.60999999871</v>
      </c>
      <c r="GB45" s="5"/>
      <c r="GC45" s="35">
        <f>GC32+GC43</f>
        <v>647449.76000000047</v>
      </c>
      <c r="GD45" s="5"/>
      <c r="GE45" s="35">
        <f>GE32+GE43</f>
        <v>2229790.4900000044</v>
      </c>
      <c r="GF45" s="5"/>
      <c r="GG45" s="35">
        <f>GG32+GG43</f>
        <v>-2800355.55</v>
      </c>
      <c r="GH45" s="5"/>
      <c r="GI45" s="35">
        <f>GI32+GI43</f>
        <v>-838559.30999999947</v>
      </c>
      <c r="GJ45" s="5"/>
      <c r="GK45" s="35">
        <f>GK32+GK43</f>
        <v>1826488.4115476257</v>
      </c>
      <c r="GL45" s="5"/>
      <c r="GM45" s="35">
        <f>GM32+GM43</f>
        <v>-286322.50457603601</v>
      </c>
      <c r="GN45" s="5"/>
      <c r="GO45" s="35">
        <f>GO32+GO43</f>
        <v>235500.76226282422</v>
      </c>
      <c r="GP45" s="5"/>
      <c r="GQ45" s="35">
        <f>GQ32+GQ43</f>
        <v>-742152.96923441545</v>
      </c>
      <c r="GR45" s="5"/>
      <c r="GS45" s="35">
        <f>GS32+GS43</f>
        <v>3018942.6905314974</v>
      </c>
      <c r="GT45" s="5"/>
      <c r="GU45" s="35">
        <f>GU32+GU43</f>
        <v>1534872.7777395467</v>
      </c>
    </row>
    <row r="46" spans="1:203">
      <c r="A46" s="5"/>
      <c r="CK46" s="5"/>
      <c r="CM46" s="5"/>
      <c r="DB46" s="75"/>
    </row>
    <row r="47" spans="1:203" s="5" customFormat="1" ht="10.5">
      <c r="A47" s="87" t="s">
        <v>197</v>
      </c>
      <c r="B47" s="101"/>
      <c r="C47" s="101"/>
      <c r="D47" s="85"/>
      <c r="E47" s="101"/>
      <c r="F47" s="101"/>
      <c r="G47" s="101"/>
      <c r="H47" s="101"/>
      <c r="I47" s="101">
        <f>K47</f>
        <v>8529129</v>
      </c>
      <c r="J47" s="101"/>
      <c r="K47" s="101">
        <f>M47</f>
        <v>8529129</v>
      </c>
      <c r="L47" s="85"/>
      <c r="M47" s="101">
        <f>O47</f>
        <v>8529129</v>
      </c>
      <c r="N47" s="101"/>
      <c r="O47" s="101">
        <f>Q47</f>
        <v>8529129</v>
      </c>
      <c r="P47" s="101"/>
      <c r="Q47" s="101">
        <f>S47</f>
        <v>8529129</v>
      </c>
      <c r="R47" s="101"/>
      <c r="S47" s="101">
        <f>'Rachunek Skonsol'!T61</f>
        <v>8529129</v>
      </c>
      <c r="T47" s="85"/>
      <c r="U47" s="101">
        <f>'Rachunek Skonsol'!V61</f>
        <v>8529129</v>
      </c>
      <c r="V47" s="101"/>
      <c r="W47" s="101">
        <f>'Rachunek Skonsol'!X61</f>
        <v>8529129</v>
      </c>
      <c r="X47" s="101"/>
      <c r="Y47" s="101">
        <f>'Rachunek Skonsol'!Z61</f>
        <v>8529129</v>
      </c>
      <c r="Z47" s="101"/>
      <c r="AA47" s="101">
        <f>'Rachunek Skonsol'!AB61</f>
        <v>8529129</v>
      </c>
      <c r="AB47" s="85"/>
      <c r="AC47" s="101">
        <f>'Rachunek Skonsol'!AD61</f>
        <v>8529129</v>
      </c>
      <c r="AD47" s="101"/>
      <c r="AE47" s="101">
        <f>'Rachunek Skonsol'!AF61</f>
        <v>8529129</v>
      </c>
      <c r="AF47" s="101"/>
      <c r="AG47" s="101">
        <f>'Rachunek Skonsol'!AH61</f>
        <v>8529129</v>
      </c>
      <c r="AH47" s="101"/>
      <c r="AI47" s="101">
        <f>'Rachunek Skonsol'!AJ61</f>
        <v>8529129</v>
      </c>
      <c r="AJ47" s="85"/>
      <c r="AK47" s="101">
        <f>'Rachunek Skonsol'!AL61</f>
        <v>8529129</v>
      </c>
      <c r="AL47" s="101"/>
      <c r="AM47" s="101">
        <f>'Rachunek Skonsol'!AN61</f>
        <v>8529129</v>
      </c>
      <c r="AN47" s="101"/>
      <c r="AO47" s="101">
        <f>'Rachunek Skonsol'!AP61</f>
        <v>8529129</v>
      </c>
      <c r="AP47" s="101"/>
      <c r="AQ47" s="101">
        <f>'Rachunek Skonsol'!AR61</f>
        <v>8529129</v>
      </c>
      <c r="AR47" s="85"/>
      <c r="AS47" s="101">
        <f>'Rachunek Skonsol'!AT61</f>
        <v>8529129</v>
      </c>
      <c r="AT47" s="101"/>
      <c r="AU47" s="101">
        <f>'Rachunek Skonsol'!AV61</f>
        <v>8529129</v>
      </c>
      <c r="AV47" s="101"/>
      <c r="AW47" s="101">
        <f>'Rachunek Skonsol'!AX61</f>
        <v>8529129</v>
      </c>
      <c r="AX47" s="101"/>
      <c r="AY47" s="101">
        <f>'Rachunek Skonsol'!AZ61</f>
        <v>8529129</v>
      </c>
      <c r="AZ47" s="85"/>
      <c r="BA47" s="101">
        <f>'Rachunek Skonsol'!BB61</f>
        <v>8529129</v>
      </c>
      <c r="BB47" s="101"/>
      <c r="BC47" s="101">
        <f>'Rachunek Skonsol'!BD61</f>
        <v>8529129</v>
      </c>
      <c r="BD47" s="101"/>
      <c r="BE47" s="101">
        <f>'Rachunek Skonsol'!BF61</f>
        <v>8529129</v>
      </c>
      <c r="BF47" s="101"/>
      <c r="BG47" s="101">
        <f>'Rachunek Skonsol'!BH61</f>
        <v>8529129</v>
      </c>
      <c r="BH47" s="85"/>
      <c r="BI47" s="101">
        <f>'Rachunek Skonsol'!BJ61</f>
        <v>8529129</v>
      </c>
      <c r="BJ47" s="101"/>
      <c r="BK47" s="101">
        <f>'Rachunek Skonsol'!BL61</f>
        <v>8529129</v>
      </c>
      <c r="BL47" s="101"/>
      <c r="BM47" s="101">
        <f>'Rachunek Skonsol'!BN61</f>
        <v>8529129</v>
      </c>
      <c r="BN47" s="101"/>
      <c r="BO47" s="101">
        <f>'Rachunek Skonsol'!BP61</f>
        <v>8529129</v>
      </c>
      <c r="BP47" s="85"/>
      <c r="BQ47" s="101">
        <f>'Rachunek Skonsol'!BR61</f>
        <v>8529129</v>
      </c>
      <c r="BR47" s="101"/>
      <c r="BS47" s="101">
        <f>'Rachunek Skonsol'!BT61</f>
        <v>8529129</v>
      </c>
      <c r="BT47" s="101"/>
      <c r="BU47" s="101">
        <f>'Rachunek Skonsol'!BV61</f>
        <v>8529129</v>
      </c>
      <c r="BV47" s="85"/>
      <c r="BW47" s="101">
        <f>'Rachunek Skonsol'!BX61</f>
        <v>8529129</v>
      </c>
      <c r="BX47" s="101"/>
      <c r="BY47" s="101">
        <f>'Rachunek Skonsol'!BZ61</f>
        <v>8529129</v>
      </c>
      <c r="BZ47" s="101"/>
      <c r="CA47" s="101">
        <f>'Rachunek Skonsol'!CB61</f>
        <v>8529129</v>
      </c>
      <c r="CB47" s="101"/>
      <c r="CC47" s="101">
        <f>'Rachunek Skonsol'!CD61</f>
        <v>8529129</v>
      </c>
      <c r="CD47" s="85"/>
      <c r="CE47" s="101">
        <f>'Rachunek Skonsol'!CF61</f>
        <v>8529129</v>
      </c>
      <c r="CF47" s="101"/>
      <c r="CG47" s="101">
        <f>'Rachunek Skonsol'!CH61</f>
        <v>8529129</v>
      </c>
      <c r="CH47" s="101"/>
      <c r="CI47" s="101">
        <f>'Rachunek Skonsol'!CJ61</f>
        <v>8529129</v>
      </c>
      <c r="CJ47" s="101"/>
      <c r="CK47" s="101">
        <f>'Rachunek Skonsol'!CL61</f>
        <v>8519211.1917808224</v>
      </c>
      <c r="CL47" s="85"/>
      <c r="CM47" s="101">
        <f>'Rachunek Skonsol'!CN61</f>
        <v>8515868.9267399255</v>
      </c>
      <c r="CN47" s="101"/>
      <c r="CO47" s="101">
        <f>'Rachunek Skonsol'!CP61</f>
        <v>8509129</v>
      </c>
      <c r="CP47" s="85"/>
      <c r="CQ47" s="101">
        <f>'Rachunek Skonsol'!CR61</f>
        <v>8488906.777777778</v>
      </c>
      <c r="CR47" s="101"/>
      <c r="CS47" s="101">
        <f>'Rachunek Skonsol'!CT61</f>
        <v>6698377.4493150692</v>
      </c>
      <c r="CT47" s="101"/>
      <c r="CU47" s="101">
        <f>'Rachunek Skonsol'!CV61</f>
        <v>6691384.2527472526</v>
      </c>
      <c r="CV47" s="101"/>
      <c r="CW47" s="101">
        <f>'Rachunek Skonsol'!CX61</f>
        <v>6682000</v>
      </c>
      <c r="CX47" s="101"/>
      <c r="CY47" s="101">
        <f>'Rachunek Skonsol'!CZ61</f>
        <v>6682000</v>
      </c>
      <c r="CZ47" s="101"/>
      <c r="DA47" s="101">
        <f>'Rachunek Skonsol'!DB61</f>
        <v>5284723.2876712326</v>
      </c>
      <c r="DB47" s="112"/>
      <c r="DC47" s="101"/>
      <c r="DD47" s="101"/>
      <c r="DE47" s="101"/>
      <c r="DF47" s="101"/>
      <c r="DG47" s="101"/>
      <c r="DH47" s="101"/>
      <c r="DI47" s="101">
        <f>DK47</f>
        <v>8529129</v>
      </c>
      <c r="DJ47" s="101"/>
      <c r="DK47" s="101">
        <f>DM47</f>
        <v>8529129</v>
      </c>
      <c r="DL47" s="101"/>
      <c r="DM47" s="101">
        <f>DO47</f>
        <v>8529129</v>
      </c>
      <c r="DN47" s="101"/>
      <c r="DO47" s="101">
        <f>DQ47</f>
        <v>8529129</v>
      </c>
      <c r="DP47" s="101"/>
      <c r="DQ47" s="101">
        <f>DS47</f>
        <v>8529129</v>
      </c>
      <c r="DR47" s="101"/>
      <c r="DS47" s="101">
        <f>DU47</f>
        <v>8529129</v>
      </c>
      <c r="DT47" s="101"/>
      <c r="DU47" s="101">
        <f>DW47</f>
        <v>8529129</v>
      </c>
      <c r="DV47" s="101"/>
      <c r="DW47" s="101">
        <f>DY47</f>
        <v>8529129</v>
      </c>
      <c r="DX47" s="101"/>
      <c r="DY47" s="101">
        <f>EA47</f>
        <v>8529129</v>
      </c>
      <c r="DZ47" s="101"/>
      <c r="EA47" s="101">
        <f>EC47</f>
        <v>8529129</v>
      </c>
      <c r="EB47" s="101"/>
      <c r="EC47" s="101">
        <f>EE47</f>
        <v>8529129</v>
      </c>
      <c r="ED47" s="101"/>
      <c r="EE47" s="101">
        <f>EG47</f>
        <v>8529129</v>
      </c>
      <c r="EF47" s="101"/>
      <c r="EG47" s="101">
        <f>EI47</f>
        <v>8529129</v>
      </c>
      <c r="EH47" s="101"/>
      <c r="EI47" s="101">
        <f>EK47</f>
        <v>8529129</v>
      </c>
      <c r="EJ47" s="101"/>
      <c r="EK47" s="101">
        <f>EM47</f>
        <v>8529129</v>
      </c>
      <c r="EL47" s="101"/>
      <c r="EM47" s="101">
        <f>EO47</f>
        <v>8529129</v>
      </c>
      <c r="EN47" s="101"/>
      <c r="EO47" s="101">
        <f>EQ47</f>
        <v>8529129</v>
      </c>
      <c r="EP47" s="101"/>
      <c r="EQ47" s="101">
        <f>ES47</f>
        <v>8529129</v>
      </c>
      <c r="ER47" s="101"/>
      <c r="ES47" s="101">
        <f>'Rachunek Skonsol'!ET61</f>
        <v>8529129</v>
      </c>
      <c r="ET47" s="101"/>
      <c r="EU47" s="101">
        <f>'Rachunek Skonsol'!EV61</f>
        <v>8529129</v>
      </c>
      <c r="EV47" s="101"/>
      <c r="EW47" s="101">
        <f>'Rachunek Skonsol'!EX61</f>
        <v>8529129</v>
      </c>
      <c r="EX47" s="101"/>
      <c r="EY47" s="101">
        <f>FA47</f>
        <v>8529129</v>
      </c>
      <c r="EZ47" s="101"/>
      <c r="FA47" s="101">
        <f>'Rachunek Skonsol'!FB61</f>
        <v>8529129</v>
      </c>
      <c r="FB47" s="101"/>
      <c r="FC47" s="101">
        <f>'Rachunek Skonsol'!FD61</f>
        <v>8529129</v>
      </c>
      <c r="FD47" s="101"/>
      <c r="FE47" s="101">
        <f>'Rachunek Skonsol'!FF61</f>
        <v>8529129</v>
      </c>
      <c r="FF47" s="101"/>
      <c r="FG47" s="101">
        <f>'Rachunek Skonsol'!FH61</f>
        <v>8529129</v>
      </c>
      <c r="FH47" s="101"/>
      <c r="FI47" s="101">
        <f>'Rachunek Skonsol'!FJ61</f>
        <v>8529129</v>
      </c>
      <c r="FJ47" s="101"/>
      <c r="FK47" s="101">
        <f>'Rachunek Skonsol'!FL61</f>
        <v>8529129</v>
      </c>
      <c r="FL47" s="101"/>
      <c r="FM47" s="101">
        <f>'Rachunek Skonsol'!FN61</f>
        <v>8529129</v>
      </c>
      <c r="FN47" s="101"/>
      <c r="FO47" s="101">
        <f>'Rachunek Skonsol'!FP61</f>
        <v>8529129</v>
      </c>
      <c r="FP47" s="101"/>
      <c r="FQ47" s="101">
        <f>'Rachunek Skonsol'!FR61</f>
        <v>8529129</v>
      </c>
      <c r="FR47" s="101"/>
      <c r="FS47" s="101">
        <f>'Rachunek Skonsol'!FT61</f>
        <v>8529129</v>
      </c>
      <c r="FT47" s="101"/>
      <c r="FU47" s="101">
        <f>'Rachunek Skonsol'!FV61</f>
        <v>8529129</v>
      </c>
      <c r="FV47" s="101"/>
      <c r="FW47" s="101">
        <f>'Rachunek Skonsol'!FX61</f>
        <v>8529129</v>
      </c>
      <c r="FX47" s="101"/>
      <c r="FY47" s="101">
        <f>'Rachunek Skonsol'!FZ61</f>
        <v>8529129</v>
      </c>
      <c r="FZ47" s="101"/>
      <c r="GA47" s="101">
        <f>'Rachunek Skonsol'!GB61</f>
        <v>8529129</v>
      </c>
      <c r="GB47" s="101"/>
      <c r="GC47" s="101">
        <f>'Rachunek Skonsol'!GD61</f>
        <v>8529129</v>
      </c>
      <c r="GD47" s="101"/>
      <c r="GE47" s="101">
        <f>'Rachunek Skonsol'!GF61</f>
        <v>8529129</v>
      </c>
      <c r="GF47" s="101"/>
      <c r="GG47" s="101">
        <f>'Rachunek Skonsol'!GH61</f>
        <v>8529129</v>
      </c>
      <c r="GH47" s="101"/>
      <c r="GI47" s="101">
        <f>'Rachunek Skonsol'!GJ61</f>
        <v>8529129</v>
      </c>
      <c r="GJ47" s="101"/>
      <c r="GK47" s="101">
        <f>'Rachunek Skonsol'!GL61</f>
        <v>8529129</v>
      </c>
      <c r="GL47" s="101"/>
      <c r="GM47" s="101">
        <f>'Rachunek Skonsol'!GN61</f>
        <v>8529129</v>
      </c>
      <c r="GN47" s="101"/>
      <c r="GO47" s="101">
        <f>'Rachunek Skonsol'!GP61</f>
        <v>8529129</v>
      </c>
      <c r="GP47" s="101"/>
      <c r="GQ47" s="101">
        <f>'Rachunek Skonsol'!GR61</f>
        <v>8488906.777777778</v>
      </c>
      <c r="GR47" s="101"/>
      <c r="GS47" s="101">
        <f>'Rachunek Skonsol'!GT61</f>
        <v>6719129</v>
      </c>
      <c r="GT47" s="101"/>
      <c r="GU47" s="101">
        <f>'Rachunek Skonsol'!GV61</f>
        <v>6709846.75</v>
      </c>
    </row>
    <row r="48" spans="1:203" s="5" customFormat="1" ht="10.5">
      <c r="A48" s="88" t="s">
        <v>198</v>
      </c>
      <c r="B48" s="85"/>
      <c r="C48" s="85"/>
      <c r="D48" s="85"/>
      <c r="E48" s="85"/>
      <c r="F48" s="85"/>
      <c r="G48" s="85"/>
      <c r="H48" s="85"/>
      <c r="I48" s="85">
        <f>I32/I47</f>
        <v>3.256321026449478</v>
      </c>
      <c r="J48" s="85"/>
      <c r="K48" s="85">
        <f>K32/K47</f>
        <v>9.089248143626385</v>
      </c>
      <c r="L48" s="85"/>
      <c r="M48" s="85">
        <f>M32/M47</f>
        <v>6.9867725016235545</v>
      </c>
      <c r="N48" s="85"/>
      <c r="O48" s="85">
        <f>O32/O47</f>
        <v>6.1790632630834894</v>
      </c>
      <c r="P48" s="85"/>
      <c r="Q48" s="85">
        <f>Q32/Q47</f>
        <v>2.8125615569889959</v>
      </c>
      <c r="R48" s="85"/>
      <c r="S48" s="85">
        <f>S32/S47</f>
        <v>3.0397495570766941</v>
      </c>
      <c r="T48" s="85"/>
      <c r="U48" s="85">
        <f>U32/U47</f>
        <v>1.9871604404154306</v>
      </c>
      <c r="V48" s="85"/>
      <c r="W48" s="85">
        <f>W32/W47</f>
        <v>1.3899962200126188</v>
      </c>
      <c r="X48" s="85"/>
      <c r="Y48" s="85">
        <f>Y32/Y47</f>
        <v>1.3648331664346984</v>
      </c>
      <c r="Z48" s="85"/>
      <c r="AA48" s="85">
        <f>AA32/AA47</f>
        <v>0.17020770350642217</v>
      </c>
      <c r="AB48" s="85"/>
      <c r="AC48" s="85">
        <f>AC32/AC47</f>
        <v>2.6300856746326109E-3</v>
      </c>
      <c r="AD48" s="85"/>
      <c r="AE48" s="85">
        <f>AE32/AE47</f>
        <v>9.0116660212315458E-2</v>
      </c>
      <c r="AF48" s="85"/>
      <c r="AG48" s="85">
        <f>AG32/AG47</f>
        <v>0.10361624967801536</v>
      </c>
      <c r="AH48" s="85"/>
      <c r="AI48" s="85">
        <f>AI32/AI47</f>
        <v>0.51323687330793055</v>
      </c>
      <c r="AJ48" s="85"/>
      <c r="AK48" s="85">
        <f>AK32/AK47</f>
        <v>0.31772237704459672</v>
      </c>
      <c r="AL48" s="85"/>
      <c r="AM48" s="85">
        <f>AM32/AM47</f>
        <v>0.52607046979826444</v>
      </c>
      <c r="AN48" s="85"/>
      <c r="AO48" s="85">
        <f>AO32/AO47</f>
        <v>0.36768056621021922</v>
      </c>
      <c r="AP48" s="85"/>
      <c r="AQ48" s="85">
        <f>AQ32/AQ47</f>
        <v>0.63316497616579648</v>
      </c>
      <c r="AR48" s="85"/>
      <c r="AS48" s="85">
        <f>AS32/AS47</f>
        <v>0.38129597523967446</v>
      </c>
      <c r="AT48" s="85"/>
      <c r="AU48" s="85">
        <f>AU32/AU47</f>
        <v>0.34169364538864538</v>
      </c>
      <c r="AV48" s="85"/>
      <c r="AW48" s="85">
        <f>AW32/AW47</f>
        <v>0.16845830682124791</v>
      </c>
      <c r="AX48" s="85"/>
      <c r="AY48" s="85">
        <f>AY32/AY47</f>
        <v>0.91296794784086566</v>
      </c>
      <c r="AZ48" s="85"/>
      <c r="BA48" s="85">
        <f>BA32/BA47</f>
        <v>1.0007700915298634</v>
      </c>
      <c r="BB48" s="85"/>
      <c r="BC48" s="85">
        <f>BC32/BC47</f>
        <v>1.0317211511280904</v>
      </c>
      <c r="BD48" s="85"/>
      <c r="BE48" s="85">
        <f>BE32/BE47</f>
        <v>0.94739055183712095</v>
      </c>
      <c r="BF48" s="85"/>
      <c r="BG48" s="85">
        <f>BG32/BG47</f>
        <v>-0.28863646686549155</v>
      </c>
      <c r="BH48" s="85"/>
      <c r="BI48" s="85">
        <f>BI32/BI47</f>
        <v>7.2403066010609737E-2</v>
      </c>
      <c r="BJ48" s="85"/>
      <c r="BK48" s="85">
        <f>BK32/BK47</f>
        <v>0.18266001370128154</v>
      </c>
      <c r="BL48" s="85"/>
      <c r="BM48" s="85">
        <f>BM32/BM47</f>
        <v>0.21068316237214718</v>
      </c>
      <c r="BN48" s="85"/>
      <c r="BO48" s="85">
        <f>BO32/BO47</f>
        <v>-0.10661406809534699</v>
      </c>
      <c r="BP48" s="85"/>
      <c r="BQ48" s="85">
        <f>BQ32/BQ47</f>
        <v>-5.5685416412390845E-2</v>
      </c>
      <c r="BR48" s="85"/>
      <c r="BS48" s="85">
        <f>BS32/BS47</f>
        <v>-3.5016542720833509E-2</v>
      </c>
      <c r="BT48" s="85"/>
      <c r="BU48" s="85">
        <f>BU32/BU47</f>
        <v>0.15680180825029108</v>
      </c>
      <c r="BV48" s="85"/>
      <c r="BW48" s="85">
        <f>BW32/BW47</f>
        <v>-0.20536886943555449</v>
      </c>
      <c r="BX48" s="85"/>
      <c r="BY48" s="85">
        <f>BY32/BY47</f>
        <v>-0.19270797639477574</v>
      </c>
      <c r="BZ48" s="85"/>
      <c r="CA48" s="85">
        <f>CA32/CA47</f>
        <v>-9.1641081990904191E-2</v>
      </c>
      <c r="CB48" s="85"/>
      <c r="CC48" s="85">
        <f>CC32/CC47</f>
        <v>-8.980976955560134E-2</v>
      </c>
      <c r="CD48" s="85"/>
      <c r="CE48" s="85">
        <f>CE32/CE47</f>
        <v>-0.16521316185978668</v>
      </c>
      <c r="CF48" s="85"/>
      <c r="CG48" s="85">
        <f>CG32/CG47</f>
        <v>-0.42664554141460392</v>
      </c>
      <c r="CH48" s="85"/>
      <c r="CI48" s="85">
        <f>CI32/CI47</f>
        <v>-9.8317109519623802E-2</v>
      </c>
      <c r="CJ48" s="85"/>
      <c r="CK48" s="85">
        <f>CK32/CK47</f>
        <v>0.12236891028194832</v>
      </c>
      <c r="CL48" s="85"/>
      <c r="CM48" s="85">
        <f>CM32/CM47</f>
        <v>-9.3117298818172101E-2</v>
      </c>
      <c r="CN48" s="85"/>
      <c r="CO48" s="85">
        <f>CO32/CO47</f>
        <v>-5.9542193680644451E-2</v>
      </c>
      <c r="CP48" s="85"/>
      <c r="CQ48" s="85">
        <f>CQ32/CQ47</f>
        <v>-8.7426212663475125E-2</v>
      </c>
      <c r="CR48" s="85"/>
      <c r="CS48" s="85">
        <f>CS32/CS47</f>
        <v>0.49147595583722731</v>
      </c>
      <c r="CT48" s="85"/>
      <c r="CU48" s="85">
        <f>CU32/CU47</f>
        <v>4.0820965978304702E-2</v>
      </c>
      <c r="CV48" s="85"/>
      <c r="CW48" s="85">
        <f>CW32/CW47</f>
        <v>-0.18882430541909473</v>
      </c>
      <c r="CX48" s="85"/>
      <c r="CY48" s="85">
        <f>CY32/CY47</f>
        <v>0.12540967897154887</v>
      </c>
      <c r="CZ48" s="85"/>
      <c r="DA48" s="85">
        <f>DA32/DA47</f>
        <v>0.10209118358797883</v>
      </c>
      <c r="DB48" s="86"/>
      <c r="DC48" s="85"/>
      <c r="DD48" s="85"/>
      <c r="DE48" s="85"/>
      <c r="DF48" s="85"/>
      <c r="DG48" s="85"/>
      <c r="DH48" s="85"/>
      <c r="DI48" s="85">
        <f>DI32/DI47</f>
        <v>3.256321026449478</v>
      </c>
      <c r="DJ48" s="85"/>
      <c r="DK48" s="85">
        <f>DK32/DK47</f>
        <v>2.1024756420028368</v>
      </c>
      <c r="DL48" s="85"/>
      <c r="DM48" s="85">
        <f>DM32/DM47</f>
        <v>0.80770923854006915</v>
      </c>
      <c r="DN48" s="85"/>
      <c r="DO48" s="85">
        <f>DO32/DO47</f>
        <v>3.3665017060944891</v>
      </c>
      <c r="DP48" s="85"/>
      <c r="DQ48" s="85">
        <f>DQ32/DQ47</f>
        <v>2.8125615569889959</v>
      </c>
      <c r="DR48" s="85"/>
      <c r="DS48" s="85">
        <f>DS32/DS47</f>
        <v>1.0525891166612671</v>
      </c>
      <c r="DT48" s="85"/>
      <c r="DU48" s="85">
        <f>DU32/DU47</f>
        <v>0.59716422040281025</v>
      </c>
      <c r="DV48" s="85"/>
      <c r="DW48" s="85">
        <f>DW32/DW47</f>
        <v>2.5163053577922249E-2</v>
      </c>
      <c r="DX48" s="85"/>
      <c r="DY48" s="85">
        <f>DY32/DY47</f>
        <v>1.3648331664346984</v>
      </c>
      <c r="DZ48" s="85"/>
      <c r="EA48" s="85">
        <f>EA32/EA47</f>
        <v>0.16757761783178785</v>
      </c>
      <c r="EB48" s="85"/>
      <c r="EC48" s="85">
        <f>EC32/EC47</f>
        <v>-8.7486574537681994E-2</v>
      </c>
      <c r="ED48" s="85"/>
      <c r="EE48" s="85">
        <f>EE32/EE47</f>
        <v>-1.3499589465699919E-2</v>
      </c>
      <c r="EF48" s="85"/>
      <c r="EG48" s="85">
        <f>EG32/EG47</f>
        <v>0.10361624967801536</v>
      </c>
      <c r="EH48" s="85"/>
      <c r="EI48" s="85">
        <f>EI32/EI47</f>
        <v>0.19551449626333472</v>
      </c>
      <c r="EJ48" s="85"/>
      <c r="EK48" s="85">
        <f>EK32/EK47</f>
        <v>-0.20834809275366814</v>
      </c>
      <c r="EL48" s="85"/>
      <c r="EM48" s="85">
        <f>EM32/EM47</f>
        <v>0.15838990358804517</v>
      </c>
      <c r="EN48" s="85"/>
      <c r="EO48" s="85">
        <f>EO32/EO47</f>
        <v>0.36768056621021922</v>
      </c>
      <c r="EP48" s="85"/>
      <c r="EQ48" s="85">
        <f>EQ32/EQ47</f>
        <v>0.25186900092611936</v>
      </c>
      <c r="ER48" s="85"/>
      <c r="ES48" s="85">
        <f>ES32/ES47</f>
        <v>3.9602329851030772E-2</v>
      </c>
      <c r="ET48" s="85"/>
      <c r="EU48" s="85">
        <f>EU32/EU47</f>
        <v>0.17323533856739706</v>
      </c>
      <c r="EV48" s="85"/>
      <c r="EW48" s="85">
        <f>EW32/EW47</f>
        <v>0.16845830682124791</v>
      </c>
      <c r="EX48" s="85"/>
      <c r="EY48" s="85">
        <f>EY32/EY47</f>
        <v>-8.780214368899833E-2</v>
      </c>
      <c r="EZ48" s="85"/>
      <c r="FA48" s="85">
        <f>FA32/FA47</f>
        <v>-3.0951059598230243E-2</v>
      </c>
      <c r="FB48" s="85"/>
      <c r="FC48" s="85">
        <f>FC32/FC47</f>
        <v>8.4330599290971059E-2</v>
      </c>
      <c r="FD48" s="85"/>
      <c r="FE48" s="85">
        <f>FE32/FE47</f>
        <v>0.94739055183712095</v>
      </c>
      <c r="FF48" s="85"/>
      <c r="FG48" s="85">
        <f>FG32/FG47</f>
        <v>-9.8075954766308107E-2</v>
      </c>
      <c r="FH48" s="85"/>
      <c r="FI48" s="85">
        <f>FI32/FI47</f>
        <v>-0.11025694769067247</v>
      </c>
      <c r="FJ48" s="85"/>
      <c r="FK48" s="85">
        <f>FK32/FK47</f>
        <v>-2.802314867086644E-2</v>
      </c>
      <c r="FL48" s="85"/>
      <c r="FM48" s="85">
        <f>FM32/FM47</f>
        <v>0.31729723046749464</v>
      </c>
      <c r="FN48" s="85"/>
      <c r="FO48" s="85">
        <f>FO32/FO47</f>
        <v>-5.0928651682956141E-2</v>
      </c>
      <c r="FP48" s="85"/>
      <c r="FQ48" s="85">
        <f>FQ32/FQ47</f>
        <v>-2.0668873691557323E-2</v>
      </c>
      <c r="FR48" s="85"/>
      <c r="FS48" s="85">
        <f>FS32/FS47</f>
        <v>-3.5016542720833509E-2</v>
      </c>
      <c r="FT48" s="85"/>
      <c r="FU48" s="85">
        <f>FU32/FU47</f>
        <v>0.36217067768584549</v>
      </c>
      <c r="FV48" s="85"/>
      <c r="FW48" s="85">
        <f>FW32/FW47</f>
        <v>-1.2660893040778314E-2</v>
      </c>
      <c r="FX48" s="85"/>
      <c r="FY48" s="85">
        <f>FY32/FY47</f>
        <v>-0.10106689440387176</v>
      </c>
      <c r="FZ48" s="85"/>
      <c r="GA48" s="85">
        <f>GA32/GA47</f>
        <v>-9.1641081990904191E-2</v>
      </c>
      <c r="GB48" s="85"/>
      <c r="GC48" s="85">
        <f>GC32/GC47</f>
        <v>7.5403392304184927E-2</v>
      </c>
      <c r="GD48" s="85"/>
      <c r="GE48" s="85">
        <f>GE32/GE47</f>
        <v>0.26143237955481791</v>
      </c>
      <c r="GF48" s="85"/>
      <c r="GG48" s="85">
        <f>GG32/GG47</f>
        <v>-0.32832843189498012</v>
      </c>
      <c r="GH48" s="85"/>
      <c r="GI48" s="85">
        <f>GI32/GI47</f>
        <v>-9.8317109519623802E-2</v>
      </c>
      <c r="GJ48" s="85"/>
      <c r="GK48" s="85">
        <f>GK32/GK47</f>
        <v>0.21519914888702299</v>
      </c>
      <c r="GL48" s="85"/>
      <c r="GM48" s="85">
        <f>GM32/GM47</f>
        <v>-3.3569958266082736E-2</v>
      </c>
      <c r="GN48" s="85"/>
      <c r="GO48" s="85">
        <f>GO32/GO47</f>
        <v>2.761134956017481E-2</v>
      </c>
      <c r="GP48" s="85"/>
      <c r="GQ48" s="85">
        <f>GQ32/GQ47</f>
        <v>-8.7426212663475125E-2</v>
      </c>
      <c r="GR48" s="85"/>
      <c r="GS48" s="85">
        <f>GS32/GS47</f>
        <v>0.44930566008354617</v>
      </c>
      <c r="GT48" s="85"/>
      <c r="GU48" s="85">
        <f>GU32/GU47</f>
        <v>0.22874930455595677</v>
      </c>
    </row>
    <row r="49" spans="1:203" s="5" customFormat="1" ht="10.5">
      <c r="A49" s="88" t="s">
        <v>199</v>
      </c>
      <c r="B49" s="85"/>
      <c r="C49" s="85"/>
      <c r="D49" s="85"/>
      <c r="E49" s="85"/>
      <c r="F49" s="85"/>
      <c r="G49" s="85"/>
      <c r="H49" s="85"/>
      <c r="I49" s="85">
        <f>I48</f>
        <v>3.256321026449478</v>
      </c>
      <c r="J49" s="85"/>
      <c r="K49" s="85">
        <f>K48</f>
        <v>9.089248143626385</v>
      </c>
      <c r="L49" s="85"/>
      <c r="M49" s="85">
        <f>M48</f>
        <v>6.9867725016235545</v>
      </c>
      <c r="N49" s="85"/>
      <c r="O49" s="85">
        <f>O48</f>
        <v>6.1790632630834894</v>
      </c>
      <c r="P49" s="85"/>
      <c r="Q49" s="85">
        <f>Q48</f>
        <v>2.8125615569889959</v>
      </c>
      <c r="R49" s="85"/>
      <c r="S49" s="85">
        <f>S48</f>
        <v>3.0397495570766941</v>
      </c>
      <c r="T49" s="85"/>
      <c r="U49" s="85">
        <f>U48</f>
        <v>1.9871604404154306</v>
      </c>
      <c r="V49" s="85"/>
      <c r="W49" s="85">
        <f>W48</f>
        <v>1.3899962200126188</v>
      </c>
      <c r="X49" s="85"/>
      <c r="Y49" s="85">
        <f>Y48</f>
        <v>1.3648331664346984</v>
      </c>
      <c r="Z49" s="85"/>
      <c r="AA49" s="85">
        <f>AA48</f>
        <v>0.17020770350642217</v>
      </c>
      <c r="AB49" s="85"/>
      <c r="AC49" s="85">
        <f>AC48</f>
        <v>2.6300856746326109E-3</v>
      </c>
      <c r="AD49" s="85"/>
      <c r="AE49" s="85">
        <f>AE48</f>
        <v>9.0116660212315458E-2</v>
      </c>
      <c r="AF49" s="85"/>
      <c r="AG49" s="85">
        <f>AG48</f>
        <v>0.10361624967801536</v>
      </c>
      <c r="AH49" s="85"/>
      <c r="AI49" s="85">
        <f>AI48</f>
        <v>0.51323687330793055</v>
      </c>
      <c r="AJ49" s="85"/>
      <c r="AK49" s="85">
        <f>AK48</f>
        <v>0.31772237704459672</v>
      </c>
      <c r="AL49" s="85"/>
      <c r="AM49" s="85">
        <f>AM48</f>
        <v>0.52607046979826444</v>
      </c>
      <c r="AN49" s="85"/>
      <c r="AO49" s="85">
        <f>AO48</f>
        <v>0.36768056621021922</v>
      </c>
      <c r="AP49" s="85"/>
      <c r="AQ49" s="85">
        <f>AQ48</f>
        <v>0.63316497616579648</v>
      </c>
      <c r="AR49" s="85"/>
      <c r="AS49" s="85">
        <f>AS48</f>
        <v>0.38129597523967446</v>
      </c>
      <c r="AT49" s="85"/>
      <c r="AU49" s="85">
        <f>AU48</f>
        <v>0.34169364538864538</v>
      </c>
      <c r="AV49" s="85"/>
      <c r="AW49" s="85">
        <f>AW48</f>
        <v>0.16845830682124791</v>
      </c>
      <c r="AX49" s="85"/>
      <c r="AY49" s="85">
        <f>AY48</f>
        <v>0.91296794784086566</v>
      </c>
      <c r="AZ49" s="85"/>
      <c r="BA49" s="85">
        <f>BA48</f>
        <v>1.0007700915298634</v>
      </c>
      <c r="BB49" s="85"/>
      <c r="BC49" s="85">
        <f>BC48</f>
        <v>1.0317211511280904</v>
      </c>
      <c r="BD49" s="85"/>
      <c r="BE49" s="85">
        <f>BE48</f>
        <v>0.94739055183712095</v>
      </c>
      <c r="BF49" s="85"/>
      <c r="BG49" s="85">
        <f>BG48</f>
        <v>-0.28863646686549155</v>
      </c>
      <c r="BH49" s="85"/>
      <c r="BI49" s="85">
        <f>BI48</f>
        <v>7.2403066010609737E-2</v>
      </c>
      <c r="BJ49" s="85"/>
      <c r="BK49" s="85">
        <f>BK48</f>
        <v>0.18266001370128154</v>
      </c>
      <c r="BL49" s="85"/>
      <c r="BM49" s="85">
        <f>BM48</f>
        <v>0.21068316237214718</v>
      </c>
      <c r="BN49" s="85"/>
      <c r="BO49" s="85">
        <f>BO48</f>
        <v>-0.10661406809534699</v>
      </c>
      <c r="BP49" s="85"/>
      <c r="BQ49" s="85">
        <f>BQ48</f>
        <v>-5.5685416412390845E-2</v>
      </c>
      <c r="BR49" s="85"/>
      <c r="BS49" s="85">
        <f>BS48</f>
        <v>-3.5016542720833509E-2</v>
      </c>
      <c r="BT49" s="85"/>
      <c r="BU49" s="85">
        <f>BU48</f>
        <v>0.15680180825029108</v>
      </c>
      <c r="BV49" s="85"/>
      <c r="BW49" s="85">
        <f>BW48</f>
        <v>-0.20536886943555449</v>
      </c>
      <c r="BX49" s="85"/>
      <c r="BY49" s="85">
        <f>BY48</f>
        <v>-0.19270797639477574</v>
      </c>
      <c r="BZ49" s="85"/>
      <c r="CA49" s="85">
        <f>CA48</f>
        <v>-9.1641081990904191E-2</v>
      </c>
      <c r="CB49" s="85"/>
      <c r="CC49" s="85">
        <f>CC48</f>
        <v>-8.980976955560134E-2</v>
      </c>
      <c r="CD49" s="85"/>
      <c r="CE49" s="85">
        <f>CE48</f>
        <v>-0.16521316185978668</v>
      </c>
      <c r="CF49" s="85"/>
      <c r="CG49" s="85">
        <f>CG48</f>
        <v>-0.42664554141460392</v>
      </c>
      <c r="CH49" s="85"/>
      <c r="CI49" s="85">
        <f>CI48</f>
        <v>-9.8317109519623802E-2</v>
      </c>
      <c r="CJ49" s="85"/>
      <c r="CK49" s="85">
        <f>CK48</f>
        <v>0.12236891028194832</v>
      </c>
      <c r="CL49" s="85"/>
      <c r="CM49" s="85">
        <f>CM48</f>
        <v>-9.3117298818172101E-2</v>
      </c>
      <c r="CN49" s="85"/>
      <c r="CO49" s="85">
        <f>CO48</f>
        <v>-5.9542193680644451E-2</v>
      </c>
      <c r="CP49" s="85"/>
      <c r="CQ49" s="85">
        <f>CQ48</f>
        <v>-8.7426212663475125E-2</v>
      </c>
      <c r="CR49" s="85"/>
      <c r="CS49" s="85">
        <f>CS48</f>
        <v>0.49147595583722731</v>
      </c>
      <c r="CT49" s="85"/>
      <c r="CU49" s="85">
        <f>CU48</f>
        <v>4.0820965978304702E-2</v>
      </c>
      <c r="CV49" s="85"/>
      <c r="CW49" s="85">
        <f>CW48</f>
        <v>-0.18882430541909473</v>
      </c>
      <c r="CX49" s="85"/>
      <c r="CY49" s="85">
        <f>CY48</f>
        <v>0.12540967897154887</v>
      </c>
      <c r="CZ49" s="85"/>
      <c r="DA49" s="85">
        <f>DA48</f>
        <v>0.10209118358797883</v>
      </c>
      <c r="DB49" s="86"/>
      <c r="DC49" s="85"/>
      <c r="DD49" s="85"/>
      <c r="DE49" s="85"/>
      <c r="DF49" s="85"/>
      <c r="DG49" s="85"/>
      <c r="DH49" s="85"/>
      <c r="DI49" s="85">
        <f>DI48</f>
        <v>3.256321026449478</v>
      </c>
      <c r="DJ49" s="85"/>
      <c r="DK49" s="85">
        <f>DK48</f>
        <v>2.1024756420028368</v>
      </c>
      <c r="DL49" s="85"/>
      <c r="DM49" s="85">
        <f>DM48</f>
        <v>0.80770923854006915</v>
      </c>
      <c r="DN49" s="85"/>
      <c r="DO49" s="85">
        <f>DO48</f>
        <v>3.3665017060944891</v>
      </c>
      <c r="DP49" s="85"/>
      <c r="DQ49" s="85">
        <f>DQ48</f>
        <v>2.8125615569889959</v>
      </c>
      <c r="DR49" s="85"/>
      <c r="DS49" s="85">
        <f>DS48</f>
        <v>1.0525891166612671</v>
      </c>
      <c r="DT49" s="85"/>
      <c r="DU49" s="85">
        <f>DU48</f>
        <v>0.59716422040281025</v>
      </c>
      <c r="DV49" s="85"/>
      <c r="DW49" s="85">
        <f>DW48</f>
        <v>2.5163053577922249E-2</v>
      </c>
      <c r="DX49" s="85"/>
      <c r="DY49" s="85">
        <f>DY48</f>
        <v>1.3648331664346984</v>
      </c>
      <c r="DZ49" s="85"/>
      <c r="EA49" s="85">
        <f>EA48</f>
        <v>0.16757761783178785</v>
      </c>
      <c r="EB49" s="85"/>
      <c r="EC49" s="85">
        <f>EC48</f>
        <v>-8.7486574537681994E-2</v>
      </c>
      <c r="ED49" s="85"/>
      <c r="EE49" s="85">
        <f>EE48</f>
        <v>-1.3499589465699919E-2</v>
      </c>
      <c r="EF49" s="85"/>
      <c r="EG49" s="85">
        <f>EG48</f>
        <v>0.10361624967801536</v>
      </c>
      <c r="EH49" s="85"/>
      <c r="EI49" s="85">
        <f>EI48</f>
        <v>0.19551449626333472</v>
      </c>
      <c r="EJ49" s="85"/>
      <c r="EK49" s="85">
        <f>EK48</f>
        <v>-0.20834809275366814</v>
      </c>
      <c r="EL49" s="85"/>
      <c r="EM49" s="85">
        <f>EM48</f>
        <v>0.15838990358804517</v>
      </c>
      <c r="EN49" s="85"/>
      <c r="EO49" s="85">
        <f>EO48</f>
        <v>0.36768056621021922</v>
      </c>
      <c r="EP49" s="85"/>
      <c r="EQ49" s="85">
        <f>EQ48</f>
        <v>0.25186900092611936</v>
      </c>
      <c r="ER49" s="85"/>
      <c r="ES49" s="85">
        <f>ES48</f>
        <v>3.9602329851030772E-2</v>
      </c>
      <c r="ET49" s="85"/>
      <c r="EU49" s="85">
        <f>EU48</f>
        <v>0.17323533856739706</v>
      </c>
      <c r="EV49" s="85"/>
      <c r="EW49" s="85">
        <f>EW48</f>
        <v>0.16845830682124791</v>
      </c>
      <c r="EX49" s="85"/>
      <c r="EY49" s="85">
        <f>EY48</f>
        <v>-8.780214368899833E-2</v>
      </c>
      <c r="EZ49" s="85"/>
      <c r="FA49" s="85">
        <f>FA48</f>
        <v>-3.0951059598230243E-2</v>
      </c>
      <c r="FB49" s="85"/>
      <c r="FC49" s="85">
        <f>FC48</f>
        <v>8.4330599290971059E-2</v>
      </c>
      <c r="FD49" s="85"/>
      <c r="FE49" s="85">
        <f>FE48</f>
        <v>0.94739055183712095</v>
      </c>
      <c r="FF49" s="85"/>
      <c r="FG49" s="85">
        <f>FG48</f>
        <v>-9.8075954766308107E-2</v>
      </c>
      <c r="FH49" s="85"/>
      <c r="FI49" s="85">
        <f>FI48</f>
        <v>-0.11025694769067247</v>
      </c>
      <c r="FJ49" s="85"/>
      <c r="FK49" s="85">
        <f>FK48</f>
        <v>-2.802314867086644E-2</v>
      </c>
      <c r="FL49" s="85"/>
      <c r="FM49" s="85">
        <f>FM48</f>
        <v>0.31729723046749464</v>
      </c>
      <c r="FN49" s="85"/>
      <c r="FO49" s="85">
        <f>FO48</f>
        <v>-5.0928651682956141E-2</v>
      </c>
      <c r="FP49" s="85"/>
      <c r="FQ49" s="85">
        <f>FQ48</f>
        <v>-2.0668873691557323E-2</v>
      </c>
      <c r="FR49" s="85"/>
      <c r="FS49" s="85">
        <f>FS48</f>
        <v>-3.5016542720833509E-2</v>
      </c>
      <c r="FT49" s="85"/>
      <c r="FU49" s="85">
        <f>FU48</f>
        <v>0.36217067768584549</v>
      </c>
      <c r="FV49" s="85"/>
      <c r="FW49" s="85">
        <f>FW48</f>
        <v>-1.2660893040778314E-2</v>
      </c>
      <c r="FX49" s="85"/>
      <c r="FY49" s="85">
        <f>FY48</f>
        <v>-0.10106689440387176</v>
      </c>
      <c r="FZ49" s="85"/>
      <c r="GA49" s="85">
        <f>GA48</f>
        <v>-9.1641081990904191E-2</v>
      </c>
      <c r="GB49" s="85"/>
      <c r="GC49" s="85">
        <f>GC48</f>
        <v>7.5403392304184927E-2</v>
      </c>
      <c r="GD49" s="85"/>
      <c r="GE49" s="85">
        <f>GE48</f>
        <v>0.26143237955481791</v>
      </c>
      <c r="GF49" s="85"/>
      <c r="GG49" s="85">
        <f>GG48</f>
        <v>-0.32832843189498012</v>
      </c>
      <c r="GH49" s="85"/>
      <c r="GI49" s="85">
        <f>GI48</f>
        <v>-9.8317109519623802E-2</v>
      </c>
      <c r="GJ49" s="85"/>
      <c r="GK49" s="85">
        <f>GK48</f>
        <v>0.21519914888702299</v>
      </c>
      <c r="GL49" s="85"/>
      <c r="GM49" s="85">
        <f>GM48</f>
        <v>-3.3569958266082736E-2</v>
      </c>
      <c r="GN49" s="85"/>
      <c r="GO49" s="85">
        <f>GO48</f>
        <v>2.761134956017481E-2</v>
      </c>
      <c r="GP49" s="85"/>
      <c r="GQ49" s="85">
        <f>GQ48</f>
        <v>-8.7426212663475125E-2</v>
      </c>
      <c r="GR49" s="85"/>
      <c r="GS49" s="85">
        <f>GS48</f>
        <v>0.44930566008354617</v>
      </c>
      <c r="GT49" s="85"/>
      <c r="GU49" s="85">
        <f>GU48</f>
        <v>0.22874930455595677</v>
      </c>
    </row>
    <row r="50" spans="1:203">
      <c r="C50" s="29"/>
      <c r="E50" s="29"/>
      <c r="G50" s="29"/>
      <c r="I50" s="29"/>
      <c r="K50" s="29"/>
      <c r="M50" s="29"/>
      <c r="O50" s="29"/>
      <c r="Q50" s="29"/>
      <c r="S50" s="29"/>
      <c r="U50" s="29"/>
      <c r="W50" s="29"/>
      <c r="Y50" s="29"/>
      <c r="AA50" s="29"/>
      <c r="AC50" s="29"/>
      <c r="AE50" s="29"/>
      <c r="AG50" s="29"/>
      <c r="AI50" s="29"/>
      <c r="AK50" s="29"/>
      <c r="AM50" s="29"/>
      <c r="AO50" s="29"/>
      <c r="AQ50" s="29"/>
      <c r="AS50" s="29"/>
      <c r="AU50" s="29"/>
      <c r="AW50" s="29"/>
      <c r="AY50" s="29"/>
      <c r="BA50" s="29"/>
      <c r="BC50" s="29"/>
      <c r="BE50" s="29"/>
      <c r="BG50" s="29"/>
      <c r="BI50" s="29"/>
      <c r="BK50" s="29"/>
      <c r="BM50" s="29"/>
      <c r="BO50" s="29"/>
      <c r="BQ50" s="29"/>
      <c r="BS50" s="29"/>
      <c r="BU50" s="29"/>
      <c r="BW50" s="29"/>
      <c r="BY50" s="29"/>
      <c r="CA50" s="29"/>
      <c r="CC50" s="29"/>
      <c r="CE50" s="29"/>
      <c r="CG50" s="29"/>
      <c r="CI50" s="29"/>
      <c r="CK50" s="29"/>
      <c r="CM50" s="29"/>
      <c r="CO50" s="29"/>
      <c r="CQ50" s="29"/>
      <c r="CS50" s="29"/>
      <c r="CU50" s="29"/>
      <c r="CW50" s="29"/>
      <c r="CY50" s="29"/>
      <c r="DA50" s="29"/>
      <c r="DB50" s="75"/>
      <c r="DC50" s="29"/>
      <c r="DD50" s="5"/>
      <c r="DE50" s="29"/>
      <c r="DF50" s="5"/>
      <c r="DG50" s="29"/>
      <c r="DH50" s="5"/>
      <c r="DI50" s="29"/>
      <c r="DJ50" s="5"/>
      <c r="DK50" s="29"/>
      <c r="DL50" s="5"/>
      <c r="DM50" s="29"/>
      <c r="DN50" s="5"/>
      <c r="DO50" s="29"/>
      <c r="DP50" s="5"/>
      <c r="DQ50" s="29"/>
      <c r="DR50" s="5"/>
      <c r="DS50" s="29"/>
      <c r="DT50" s="5"/>
      <c r="DU50" s="29"/>
      <c r="DV50" s="5"/>
      <c r="DW50" s="29"/>
      <c r="DX50" s="5"/>
      <c r="DY50" s="29"/>
      <c r="DZ50" s="5"/>
      <c r="EA50" s="29"/>
      <c r="EB50" s="5"/>
      <c r="EC50" s="29"/>
      <c r="ED50" s="5"/>
      <c r="EE50" s="29"/>
      <c r="EF50" s="5"/>
      <c r="EG50" s="29"/>
      <c r="EH50" s="5"/>
      <c r="EI50" s="29"/>
      <c r="EJ50" s="5"/>
      <c r="EK50" s="29"/>
      <c r="EL50" s="5"/>
      <c r="EM50" s="29"/>
      <c r="EN50" s="5"/>
      <c r="EO50" s="29"/>
      <c r="EP50" s="5"/>
      <c r="EQ50" s="29"/>
      <c r="ER50" s="5"/>
      <c r="ES50" s="29"/>
      <c r="ET50" s="5"/>
      <c r="EU50" s="29"/>
      <c r="EV50" s="5"/>
      <c r="EW50" s="29"/>
      <c r="EX50" s="5"/>
      <c r="EY50" s="29"/>
      <c r="EZ50" s="5"/>
      <c r="FA50" s="29"/>
      <c r="FB50" s="5"/>
      <c r="FC50" s="29"/>
      <c r="FD50" s="5"/>
      <c r="FE50" s="29"/>
      <c r="FF50" s="5"/>
      <c r="FG50" s="29"/>
      <c r="FH50" s="5"/>
      <c r="FI50" s="29"/>
      <c r="FJ50" s="5"/>
      <c r="FK50" s="29"/>
      <c r="FL50" s="5"/>
      <c r="FM50" s="29"/>
      <c r="FN50" s="5"/>
      <c r="FO50" s="29"/>
      <c r="FP50" s="5"/>
      <c r="FQ50" s="29"/>
      <c r="FR50" s="5"/>
      <c r="FS50" s="29"/>
      <c r="FT50" s="5"/>
      <c r="FU50" s="29"/>
      <c r="FV50" s="5"/>
      <c r="FW50" s="29"/>
      <c r="FX50" s="5"/>
      <c r="FY50" s="29"/>
      <c r="FZ50" s="5"/>
      <c r="GA50" s="29"/>
      <c r="GB50" s="5"/>
      <c r="GC50" s="29"/>
      <c r="GD50" s="5"/>
      <c r="GE50" s="29"/>
      <c r="GF50" s="5"/>
      <c r="GG50" s="29"/>
      <c r="GH50" s="5"/>
      <c r="GI50" s="29"/>
      <c r="GJ50" s="5"/>
      <c r="GK50" s="29"/>
      <c r="GL50" s="5"/>
      <c r="GM50" s="29"/>
      <c r="GN50" s="5"/>
      <c r="GO50" s="29"/>
      <c r="GP50" s="5"/>
      <c r="GQ50" s="29"/>
      <c r="GR50" s="5"/>
      <c r="GS50" s="29"/>
      <c r="GT50" s="5"/>
      <c r="GU50" s="29"/>
    </row>
    <row r="51" spans="1:203">
      <c r="C51" s="29"/>
      <c r="E51" s="29"/>
      <c r="G51" s="29"/>
      <c r="I51" s="29"/>
      <c r="K51" s="29"/>
      <c r="M51" s="29"/>
      <c r="O51" s="29"/>
      <c r="Q51" s="29"/>
      <c r="S51" s="29"/>
      <c r="U51" s="29"/>
      <c r="W51" s="29"/>
      <c r="Y51" s="29"/>
      <c r="AA51" s="29"/>
      <c r="AC51" s="29"/>
      <c r="AE51" s="29"/>
      <c r="AG51" s="29"/>
      <c r="AI51" s="29"/>
      <c r="AK51" s="29"/>
      <c r="AM51" s="29"/>
      <c r="AO51" s="29"/>
      <c r="AQ51" s="29"/>
      <c r="AS51" s="29"/>
      <c r="AU51" s="29"/>
      <c r="AW51" s="29"/>
      <c r="AY51" s="29"/>
      <c r="BA51" s="29"/>
      <c r="BC51" s="29"/>
      <c r="BE51" s="29"/>
      <c r="BG51" s="29"/>
      <c r="BI51" s="29"/>
      <c r="BK51" s="29"/>
      <c r="BM51" s="29"/>
      <c r="BO51" s="29"/>
      <c r="BQ51" s="29"/>
      <c r="BS51" s="29"/>
      <c r="BU51" s="29"/>
      <c r="BW51" s="29"/>
      <c r="BY51" s="29"/>
      <c r="CA51" s="29"/>
      <c r="CC51" s="29"/>
      <c r="CE51" s="29"/>
      <c r="CG51" s="29"/>
      <c r="CI51" s="29"/>
      <c r="CK51" s="29"/>
      <c r="CM51" s="29"/>
      <c r="CO51" s="29"/>
      <c r="CQ51" s="29"/>
      <c r="CS51" s="29"/>
      <c r="CU51" s="29"/>
      <c r="CW51" s="29"/>
      <c r="CY51" s="29"/>
      <c r="DA51" s="29"/>
      <c r="DB51" s="75"/>
      <c r="DC51" s="29"/>
      <c r="DD51" s="5"/>
      <c r="DE51" s="29"/>
      <c r="DF51" s="5"/>
      <c r="DG51" s="29"/>
      <c r="DH51" s="5"/>
      <c r="DI51" s="29"/>
      <c r="DJ51" s="5"/>
      <c r="DK51" s="29"/>
      <c r="DL51" s="5"/>
      <c r="DM51" s="29"/>
      <c r="DN51" s="5"/>
      <c r="DO51" s="29"/>
      <c r="DP51" s="5"/>
      <c r="DQ51" s="29"/>
      <c r="DR51" s="5"/>
      <c r="DS51" s="29"/>
      <c r="DT51" s="5"/>
      <c r="DU51" s="29"/>
      <c r="DV51" s="5"/>
      <c r="DW51" s="29"/>
      <c r="DX51" s="5"/>
      <c r="DY51" s="29"/>
      <c r="DZ51" s="5"/>
      <c r="EA51" s="29"/>
      <c r="EB51" s="5"/>
      <c r="EC51" s="29"/>
      <c r="ED51" s="5"/>
      <c r="EE51" s="29"/>
      <c r="EF51" s="5"/>
      <c r="EG51" s="29"/>
      <c r="EH51" s="5"/>
      <c r="EI51" s="29"/>
      <c r="EJ51" s="5"/>
      <c r="EK51" s="29"/>
      <c r="EL51" s="5"/>
      <c r="EM51" s="29"/>
      <c r="EN51" s="5"/>
      <c r="EO51" s="29"/>
      <c r="EP51" s="5"/>
      <c r="EQ51" s="29"/>
      <c r="ER51" s="5"/>
      <c r="ES51" s="29"/>
      <c r="ET51" s="5"/>
      <c r="EU51" s="29"/>
      <c r="EV51" s="5"/>
      <c r="EW51" s="29"/>
      <c r="EX51" s="5"/>
      <c r="EY51" s="29"/>
      <c r="EZ51" s="5"/>
      <c r="FA51" s="29"/>
      <c r="FB51" s="5"/>
      <c r="FC51" s="29"/>
      <c r="FD51" s="5"/>
      <c r="FE51" s="29"/>
      <c r="FF51" s="5"/>
      <c r="FG51" s="29"/>
      <c r="FH51" s="5"/>
      <c r="FI51" s="29"/>
      <c r="FJ51" s="5"/>
      <c r="FK51" s="29"/>
      <c r="FL51" s="5"/>
      <c r="FM51" s="29"/>
      <c r="FN51" s="5"/>
      <c r="FO51" s="29"/>
      <c r="FP51" s="5"/>
      <c r="FQ51" s="29"/>
      <c r="FR51" s="5"/>
      <c r="FS51" s="29"/>
      <c r="FT51" s="5"/>
      <c r="FU51" s="29"/>
      <c r="FV51" s="5"/>
      <c r="FW51" s="29"/>
      <c r="FX51" s="5"/>
      <c r="FY51" s="29"/>
      <c r="FZ51" s="5"/>
      <c r="GA51" s="29"/>
      <c r="GB51" s="5"/>
      <c r="GC51" s="29"/>
      <c r="GD51" s="5"/>
      <c r="GE51" s="29"/>
      <c r="GF51" s="5"/>
      <c r="GG51" s="29"/>
      <c r="GH51" s="5"/>
      <c r="GI51" s="29"/>
      <c r="GJ51" s="5"/>
      <c r="GK51" s="29"/>
      <c r="GL51" s="5"/>
      <c r="GM51" s="29"/>
      <c r="GN51" s="5"/>
      <c r="GO51" s="29"/>
      <c r="GP51" s="5"/>
      <c r="GQ51" s="29"/>
      <c r="GR51" s="5"/>
      <c r="GS51" s="29"/>
      <c r="GT51" s="5"/>
      <c r="GU51" s="29"/>
    </row>
    <row r="52" spans="1:203">
      <c r="DB52" s="75"/>
      <c r="DC52" s="29"/>
      <c r="DD52" s="5"/>
      <c r="DE52" s="29"/>
      <c r="DF52" s="5"/>
      <c r="DG52" s="29"/>
      <c r="DH52" s="5"/>
      <c r="DI52" s="29"/>
      <c r="DJ52" s="5"/>
      <c r="DK52" s="29"/>
      <c r="DL52" s="5"/>
      <c r="DM52" s="29"/>
      <c r="DN52" s="5"/>
      <c r="DO52" s="29"/>
      <c r="DP52" s="5"/>
      <c r="DQ52" s="29"/>
      <c r="DR52" s="5"/>
      <c r="DS52" s="29"/>
      <c r="DT52" s="5"/>
      <c r="DU52" s="29"/>
      <c r="DV52" s="5"/>
      <c r="DW52" s="29"/>
      <c r="DX52" s="5"/>
      <c r="DY52" s="29"/>
      <c r="DZ52" s="5"/>
      <c r="EA52" s="29"/>
      <c r="EB52" s="5"/>
      <c r="EC52" s="29"/>
      <c r="ED52" s="5"/>
      <c r="EE52" s="29"/>
      <c r="EF52" s="5"/>
      <c r="EG52" s="29"/>
      <c r="EH52" s="5"/>
      <c r="EI52" s="29"/>
      <c r="EJ52" s="5"/>
      <c r="EK52" s="29"/>
      <c r="EL52" s="5"/>
      <c r="EM52" s="29"/>
      <c r="EN52" s="5"/>
      <c r="EO52" s="29"/>
      <c r="EP52" s="5"/>
      <c r="EQ52" s="29"/>
      <c r="ER52" s="5"/>
      <c r="ES52" s="29"/>
      <c r="ET52" s="5"/>
      <c r="EU52" s="29"/>
      <c r="EV52" s="5"/>
      <c r="EW52" s="29"/>
      <c r="EX52" s="5"/>
      <c r="EY52" s="29"/>
      <c r="EZ52" s="5"/>
      <c r="FA52" s="29"/>
      <c r="FB52" s="5"/>
      <c r="FC52" s="29"/>
      <c r="FD52" s="5"/>
      <c r="FE52" s="29"/>
      <c r="FF52" s="5"/>
      <c r="FG52" s="29"/>
      <c r="FH52" s="5"/>
      <c r="FI52" s="29"/>
      <c r="FJ52" s="5"/>
      <c r="FK52" s="29"/>
      <c r="FL52" s="5"/>
      <c r="FM52" s="29"/>
      <c r="FN52" s="5"/>
      <c r="FO52" s="29"/>
      <c r="FP52" s="5"/>
      <c r="FQ52" s="29"/>
      <c r="FR52" s="5"/>
      <c r="FS52" s="29"/>
      <c r="FT52" s="5"/>
      <c r="FU52" s="29"/>
      <c r="FV52" s="5"/>
      <c r="FW52" s="29"/>
      <c r="FX52" s="5"/>
      <c r="FY52" s="29"/>
      <c r="FZ52" s="5"/>
      <c r="GA52" s="29"/>
      <c r="GB52" s="5"/>
      <c r="GC52" s="29"/>
      <c r="GD52" s="5"/>
      <c r="GE52" s="29"/>
      <c r="GF52" s="5"/>
      <c r="GG52" s="29"/>
      <c r="GH52" s="5"/>
      <c r="GI52" s="29"/>
      <c r="GJ52" s="5"/>
      <c r="GK52" s="29"/>
      <c r="GL52" s="5"/>
      <c r="GM52" s="29"/>
      <c r="GN52" s="5"/>
      <c r="GO52" s="29"/>
      <c r="GP52" s="5"/>
      <c r="GQ52" s="29"/>
      <c r="GR52" s="5"/>
      <c r="GS52" s="29"/>
      <c r="GT52" s="5"/>
      <c r="GU52" s="29"/>
    </row>
    <row r="53" spans="1:203">
      <c r="C53" s="29"/>
      <c r="E53" s="29"/>
      <c r="G53" s="29"/>
      <c r="I53" s="29"/>
      <c r="K53" s="29"/>
      <c r="M53" s="29"/>
      <c r="O53" s="29"/>
      <c r="Q53" s="29"/>
      <c r="S53" s="29"/>
      <c r="U53" s="29"/>
      <c r="W53" s="29"/>
      <c r="Y53" s="29"/>
      <c r="AA53" s="29"/>
      <c r="AC53" s="29"/>
      <c r="AE53" s="29"/>
      <c r="AG53" s="29"/>
      <c r="AI53" s="29"/>
      <c r="AK53" s="29"/>
      <c r="AM53" s="29"/>
      <c r="AO53" s="29"/>
      <c r="AQ53" s="29"/>
      <c r="AS53" s="29"/>
      <c r="AU53" s="29"/>
      <c r="AW53" s="29"/>
      <c r="AY53" s="29"/>
      <c r="BA53" s="29"/>
      <c r="BC53" s="29"/>
      <c r="BE53" s="29"/>
      <c r="BG53" s="29"/>
      <c r="BI53" s="29"/>
      <c r="BK53" s="29"/>
      <c r="BM53" s="29"/>
      <c r="BO53" s="29"/>
      <c r="BQ53" s="29"/>
      <c r="BS53" s="29"/>
      <c r="BU53" s="29"/>
      <c r="BW53" s="29"/>
      <c r="BY53" s="29"/>
      <c r="CA53" s="29"/>
      <c r="CC53" s="29"/>
      <c r="CE53" s="29"/>
      <c r="CG53" s="29"/>
      <c r="CI53" s="29"/>
      <c r="CK53" s="29"/>
      <c r="CM53" s="29"/>
      <c r="CO53" s="29"/>
      <c r="CQ53" s="29"/>
      <c r="CS53" s="29"/>
      <c r="CU53" s="29"/>
      <c r="CW53" s="29"/>
      <c r="CY53" s="29"/>
      <c r="DA53" s="29"/>
      <c r="DB53" s="75"/>
      <c r="DC53" s="29"/>
      <c r="DD53" s="5"/>
      <c r="DE53" s="29"/>
      <c r="DF53" s="5"/>
      <c r="DG53" s="29"/>
      <c r="DH53" s="5"/>
      <c r="DI53" s="29"/>
      <c r="DJ53" s="5"/>
      <c r="DK53" s="29"/>
      <c r="DL53" s="5"/>
      <c r="DM53" s="29"/>
      <c r="DN53" s="5"/>
      <c r="DO53" s="29"/>
      <c r="DP53" s="5"/>
      <c r="DQ53" s="29"/>
      <c r="DR53" s="5"/>
      <c r="DS53" s="29"/>
      <c r="DT53" s="5"/>
      <c r="DU53" s="29"/>
      <c r="DV53" s="5"/>
      <c r="DW53" s="29"/>
      <c r="DX53" s="5"/>
      <c r="DY53" s="29"/>
      <c r="DZ53" s="5"/>
      <c r="EA53" s="29"/>
      <c r="EB53" s="5"/>
      <c r="EC53" s="29"/>
      <c r="ED53" s="5"/>
      <c r="EE53" s="29"/>
      <c r="EF53" s="5"/>
      <c r="EG53" s="29"/>
      <c r="EH53" s="5"/>
      <c r="EI53" s="29"/>
      <c r="EJ53" s="5"/>
      <c r="EK53" s="29"/>
      <c r="EL53" s="5"/>
      <c r="EM53" s="29"/>
      <c r="EN53" s="5"/>
      <c r="EO53" s="29"/>
      <c r="EP53" s="5"/>
      <c r="EQ53" s="29"/>
      <c r="ER53" s="5"/>
      <c r="ES53" s="29"/>
      <c r="ET53" s="5"/>
      <c r="EU53" s="29"/>
      <c r="EV53" s="5"/>
      <c r="EW53" s="29"/>
      <c r="EX53" s="5"/>
      <c r="EY53" s="29"/>
      <c r="EZ53" s="5"/>
      <c r="FA53" s="29"/>
      <c r="FB53" s="5"/>
      <c r="FC53" s="29"/>
      <c r="FD53" s="5"/>
      <c r="FE53" s="29"/>
      <c r="FF53" s="5"/>
      <c r="FG53" s="29"/>
      <c r="FH53" s="5"/>
      <c r="FI53" s="29"/>
      <c r="FJ53" s="5"/>
      <c r="FK53" s="29"/>
      <c r="FL53" s="5"/>
      <c r="FM53" s="29"/>
      <c r="FN53" s="5"/>
      <c r="FO53" s="29"/>
      <c r="FP53" s="5"/>
      <c r="FQ53" s="29"/>
      <c r="FR53" s="5"/>
      <c r="FS53" s="29"/>
      <c r="FT53" s="5"/>
      <c r="FU53" s="29"/>
      <c r="FV53" s="5"/>
      <c r="FW53" s="29"/>
      <c r="FX53" s="5"/>
      <c r="FY53" s="29"/>
      <c r="FZ53" s="5"/>
      <c r="GA53" s="29"/>
      <c r="GB53" s="5"/>
      <c r="GC53" s="29"/>
      <c r="GD53" s="5"/>
      <c r="GE53" s="29"/>
      <c r="GF53" s="5"/>
      <c r="GG53" s="29"/>
      <c r="GH53" s="5"/>
      <c r="GI53" s="29"/>
      <c r="GJ53" s="5"/>
      <c r="GK53" s="29"/>
      <c r="GL53" s="5"/>
      <c r="GM53" s="29"/>
      <c r="GN53" s="5"/>
      <c r="GO53" s="29"/>
      <c r="GP53" s="5"/>
      <c r="GQ53" s="29"/>
      <c r="GR53" s="5"/>
      <c r="GS53" s="29"/>
      <c r="GT53" s="5"/>
      <c r="GU53" s="29"/>
    </row>
    <row r="54" spans="1:203">
      <c r="C54" s="29"/>
      <c r="E54" s="29"/>
      <c r="G54" s="29"/>
      <c r="I54" s="29"/>
      <c r="K54" s="29"/>
      <c r="M54" s="29"/>
      <c r="O54" s="29"/>
      <c r="Q54" s="29"/>
      <c r="S54" s="29"/>
      <c r="U54" s="29"/>
      <c r="W54" s="29"/>
      <c r="Y54" s="29"/>
      <c r="AA54" s="29"/>
      <c r="AC54" s="29"/>
      <c r="AE54" s="29"/>
      <c r="AG54" s="29"/>
      <c r="AI54" s="29"/>
      <c r="AK54" s="29"/>
      <c r="AM54" s="29"/>
      <c r="AO54" s="29"/>
      <c r="AQ54" s="29"/>
      <c r="AS54" s="29"/>
      <c r="AU54" s="29"/>
      <c r="AW54" s="29"/>
      <c r="AY54" s="29"/>
      <c r="BA54" s="29"/>
      <c r="BC54" s="29"/>
      <c r="BE54" s="29"/>
      <c r="BG54" s="29"/>
      <c r="BI54" s="29"/>
      <c r="BK54" s="29"/>
      <c r="BM54" s="29"/>
      <c r="BO54" s="29"/>
      <c r="BQ54" s="29"/>
      <c r="BS54" s="29"/>
      <c r="BU54" s="29"/>
      <c r="BW54" s="29"/>
      <c r="BY54" s="29"/>
      <c r="CA54" s="29"/>
      <c r="CC54" s="29"/>
      <c r="CE54" s="29"/>
      <c r="CG54" s="29"/>
      <c r="CI54" s="29"/>
      <c r="CK54" s="29"/>
      <c r="CM54" s="29"/>
      <c r="CO54" s="29"/>
      <c r="CQ54" s="29"/>
      <c r="CS54" s="29"/>
      <c r="CU54" s="29"/>
      <c r="CW54" s="29"/>
      <c r="CY54" s="29"/>
      <c r="DA54" s="29"/>
      <c r="DB54" s="75"/>
      <c r="DC54" s="29"/>
      <c r="DD54" s="5"/>
      <c r="DE54" s="29"/>
      <c r="DF54" s="5"/>
      <c r="DG54" s="29"/>
      <c r="DH54" s="5"/>
      <c r="DI54" s="29"/>
      <c r="DJ54" s="5"/>
      <c r="DK54" s="29"/>
      <c r="DL54" s="5"/>
      <c r="DM54" s="29"/>
      <c r="DN54" s="5"/>
      <c r="DO54" s="29"/>
      <c r="DP54" s="5"/>
      <c r="DQ54" s="29"/>
      <c r="DR54" s="5"/>
      <c r="DS54" s="29"/>
      <c r="DT54" s="5"/>
      <c r="DU54" s="29"/>
      <c r="DV54" s="5"/>
      <c r="DW54" s="29"/>
      <c r="DX54" s="5"/>
      <c r="DY54" s="29"/>
      <c r="DZ54" s="5"/>
      <c r="EA54" s="29"/>
      <c r="EB54" s="5"/>
      <c r="EC54" s="29"/>
      <c r="ED54" s="5"/>
      <c r="EE54" s="29"/>
      <c r="EF54" s="5"/>
      <c r="EG54" s="29"/>
      <c r="EH54" s="5"/>
      <c r="EI54" s="29"/>
      <c r="EJ54" s="5"/>
      <c r="EK54" s="29"/>
      <c r="EL54" s="5"/>
      <c r="EM54" s="29"/>
      <c r="EN54" s="5"/>
      <c r="EO54" s="29"/>
      <c r="EP54" s="5"/>
      <c r="EQ54" s="29"/>
      <c r="ER54" s="5"/>
      <c r="ES54" s="29"/>
      <c r="ET54" s="5"/>
      <c r="EU54" s="29"/>
      <c r="EV54" s="5"/>
      <c r="EW54" s="29"/>
      <c r="EX54" s="5"/>
      <c r="EY54" s="29"/>
      <c r="EZ54" s="5"/>
      <c r="FA54" s="29"/>
      <c r="FB54" s="5"/>
      <c r="FC54" s="29"/>
      <c r="FD54" s="5"/>
      <c r="FE54" s="29"/>
      <c r="FF54" s="5"/>
      <c r="FG54" s="29"/>
      <c r="FH54" s="5"/>
      <c r="FI54" s="29"/>
      <c r="FJ54" s="5"/>
      <c r="FK54" s="29"/>
      <c r="FL54" s="5"/>
      <c r="FM54" s="29"/>
      <c r="FN54" s="5"/>
      <c r="FO54" s="29"/>
      <c r="FP54" s="5"/>
      <c r="FQ54" s="29"/>
      <c r="FR54" s="5"/>
      <c r="FS54" s="29"/>
      <c r="FT54" s="5"/>
      <c r="FU54" s="29"/>
      <c r="FV54" s="5"/>
      <c r="FW54" s="29"/>
      <c r="FX54" s="5"/>
      <c r="FY54" s="29"/>
      <c r="FZ54" s="5"/>
      <c r="GA54" s="29"/>
      <c r="GB54" s="5"/>
      <c r="GC54" s="29"/>
      <c r="GD54" s="5"/>
      <c r="GE54" s="29"/>
      <c r="GF54" s="5"/>
      <c r="GG54" s="29"/>
      <c r="GH54" s="5"/>
      <c r="GI54" s="29"/>
      <c r="GJ54" s="5"/>
      <c r="GK54" s="29"/>
      <c r="GL54" s="5"/>
      <c r="GM54" s="29"/>
      <c r="GN54" s="5"/>
      <c r="GO54" s="29"/>
      <c r="GP54" s="5"/>
      <c r="GQ54" s="29"/>
      <c r="GR54" s="5"/>
      <c r="GS54" s="29"/>
      <c r="GT54" s="5"/>
      <c r="GU54" s="29"/>
    </row>
    <row r="55" spans="1:203">
      <c r="C55" s="29"/>
      <c r="E55" s="29"/>
      <c r="G55" s="29"/>
      <c r="I55" s="29"/>
      <c r="K55" s="29"/>
      <c r="M55" s="29"/>
      <c r="O55" s="29"/>
      <c r="Q55" s="29"/>
      <c r="S55" s="29"/>
      <c r="U55" s="29"/>
      <c r="W55" s="29"/>
      <c r="Y55" s="29"/>
      <c r="AA55" s="29"/>
      <c r="AC55" s="29"/>
      <c r="AE55" s="29"/>
      <c r="AG55" s="29"/>
      <c r="AI55" s="29"/>
      <c r="AK55" s="29"/>
      <c r="AM55" s="29"/>
      <c r="AO55" s="29"/>
      <c r="AQ55" s="29"/>
      <c r="AS55" s="29"/>
      <c r="AU55" s="29"/>
      <c r="AW55" s="29"/>
      <c r="AY55" s="29"/>
      <c r="BA55" s="29"/>
      <c r="BC55" s="29"/>
      <c r="BE55" s="29"/>
      <c r="BG55" s="29"/>
      <c r="BI55" s="29"/>
      <c r="BK55" s="29"/>
      <c r="BM55" s="29"/>
      <c r="BO55" s="29"/>
      <c r="BQ55" s="29"/>
      <c r="BS55" s="29"/>
      <c r="BU55" s="29"/>
      <c r="BW55" s="29"/>
      <c r="BY55" s="29"/>
      <c r="CA55" s="29"/>
      <c r="CC55" s="29"/>
      <c r="CE55" s="29"/>
      <c r="CG55" s="29"/>
      <c r="CI55" s="29"/>
      <c r="CK55" s="29"/>
      <c r="CM55" s="29"/>
      <c r="CO55" s="29"/>
      <c r="CQ55" s="29"/>
      <c r="CS55" s="29"/>
      <c r="CU55" s="29"/>
      <c r="CW55" s="29"/>
      <c r="CY55" s="29"/>
      <c r="DA55" s="29"/>
      <c r="DB55" s="75"/>
      <c r="DC55" s="29"/>
      <c r="DD55" s="5"/>
      <c r="DE55" s="29"/>
      <c r="DF55" s="5"/>
      <c r="DG55" s="29"/>
      <c r="DH55" s="5"/>
      <c r="DI55" s="29"/>
      <c r="DJ55" s="5"/>
      <c r="DK55" s="29"/>
      <c r="DL55" s="5"/>
      <c r="DM55" s="29"/>
      <c r="DN55" s="5"/>
      <c r="DO55" s="29"/>
      <c r="DP55" s="5"/>
      <c r="DQ55" s="29"/>
      <c r="DR55" s="5"/>
      <c r="DS55" s="29"/>
      <c r="DT55" s="5"/>
      <c r="DU55" s="29"/>
      <c r="DV55" s="5"/>
      <c r="DW55" s="29"/>
      <c r="DX55" s="5"/>
      <c r="DY55" s="29"/>
      <c r="DZ55" s="5"/>
      <c r="EA55" s="29"/>
      <c r="EB55" s="5"/>
      <c r="EC55" s="29"/>
      <c r="ED55" s="5"/>
      <c r="EE55" s="29"/>
      <c r="EF55" s="5"/>
      <c r="EG55" s="29"/>
      <c r="EH55" s="5"/>
      <c r="EI55" s="29"/>
      <c r="EJ55" s="5"/>
      <c r="EK55" s="29"/>
      <c r="EL55" s="5"/>
      <c r="EM55" s="29"/>
      <c r="EN55" s="5"/>
      <c r="EO55" s="29"/>
      <c r="EP55" s="5"/>
      <c r="EQ55" s="29"/>
      <c r="ER55" s="5"/>
      <c r="ES55" s="29"/>
      <c r="ET55" s="5"/>
      <c r="EU55" s="29"/>
      <c r="EV55" s="5"/>
      <c r="EW55" s="29"/>
      <c r="EX55" s="5"/>
      <c r="EY55" s="29"/>
      <c r="EZ55" s="5"/>
      <c r="FA55" s="29"/>
      <c r="FB55" s="5"/>
      <c r="FC55" s="29"/>
      <c r="FD55" s="5"/>
      <c r="FE55" s="29"/>
      <c r="FF55" s="5"/>
      <c r="FG55" s="29"/>
      <c r="FH55" s="5"/>
      <c r="FI55" s="29"/>
      <c r="FJ55" s="5"/>
      <c r="FK55" s="29"/>
      <c r="FL55" s="5"/>
      <c r="FM55" s="29"/>
      <c r="FN55" s="5"/>
      <c r="FO55" s="29"/>
      <c r="FP55" s="5"/>
      <c r="FQ55" s="29"/>
      <c r="FR55" s="5"/>
      <c r="FS55" s="29"/>
      <c r="FT55" s="5"/>
      <c r="FU55" s="29"/>
      <c r="FV55" s="5"/>
      <c r="FW55" s="29"/>
      <c r="FX55" s="5"/>
      <c r="FY55" s="29"/>
      <c r="FZ55" s="5"/>
      <c r="GA55" s="29"/>
      <c r="GB55" s="5"/>
      <c r="GC55" s="29"/>
      <c r="GD55" s="5"/>
      <c r="GE55" s="29"/>
      <c r="GF55" s="5"/>
      <c r="GG55" s="29"/>
      <c r="GH55" s="5"/>
      <c r="GI55" s="29"/>
      <c r="GJ55" s="5"/>
      <c r="GK55" s="29"/>
      <c r="GL55" s="5"/>
      <c r="GM55" s="29"/>
      <c r="GN55" s="5"/>
      <c r="GO55" s="29"/>
      <c r="GP55" s="5"/>
      <c r="GQ55" s="29"/>
      <c r="GR55" s="5"/>
      <c r="GS55" s="29"/>
      <c r="GT55" s="5"/>
      <c r="GU55" s="29"/>
    </row>
    <row r="56" spans="1:203">
      <c r="A56" s="26" t="s">
        <v>62</v>
      </c>
      <c r="C56" s="29"/>
      <c r="E56" s="29"/>
      <c r="G56" s="29"/>
      <c r="I56" s="29">
        <v>2796901.86</v>
      </c>
      <c r="K56" s="29">
        <v>8029903.7000000002</v>
      </c>
      <c r="M56" s="29">
        <v>5608087.5</v>
      </c>
      <c r="O56" s="29">
        <v>3779636.68</v>
      </c>
      <c r="Q56" s="29">
        <v>1874942.31</v>
      </c>
      <c r="S56" s="29">
        <v>6404365</v>
      </c>
      <c r="U56" s="29">
        <v>4628752.04</v>
      </c>
      <c r="W56" s="29">
        <v>3011279.51</v>
      </c>
      <c r="Y56" s="29">
        <v>1484328.76</v>
      </c>
      <c r="AA56" s="29">
        <v>5804885.4800000004</v>
      </c>
      <c r="AC56" s="29">
        <v>4289184.3499999996</v>
      </c>
      <c r="AE56" s="29">
        <v>2806993.78</v>
      </c>
      <c r="AG56" s="29">
        <v>1343918.56</v>
      </c>
      <c r="AI56" s="29">
        <v>5292726.13</v>
      </c>
      <c r="AK56" s="29">
        <v>4000380.01</v>
      </c>
      <c r="AM56" s="29">
        <v>2630022.59</v>
      </c>
      <c r="AO56" s="29">
        <v>1304395.46</v>
      </c>
      <c r="AQ56" s="29">
        <v>4606553.21</v>
      </c>
      <c r="AS56" s="29">
        <v>3366098.53</v>
      </c>
      <c r="AU56" s="29">
        <v>2223716.81</v>
      </c>
      <c r="AW56" s="29">
        <v>1114827.32</v>
      </c>
      <c r="AY56" s="29">
        <v>3678185.27</v>
      </c>
      <c r="BA56" s="29">
        <v>2813596.86</v>
      </c>
      <c r="BC56" s="29">
        <v>1890638.6600000001</v>
      </c>
      <c r="BE56" s="29">
        <v>952583.13</v>
      </c>
      <c r="BG56" s="29">
        <v>6369711.4400000004</v>
      </c>
      <c r="BI56" s="29">
        <v>3659780.64</v>
      </c>
      <c r="BK56" s="29">
        <v>2999094.24</v>
      </c>
      <c r="BM56" s="29">
        <v>2345151.75</v>
      </c>
      <c r="BO56" s="29">
        <v>1756887.66</v>
      </c>
      <c r="BQ56" s="29">
        <v>1168986.48</v>
      </c>
      <c r="BS56" s="29">
        <v>581778.35</v>
      </c>
      <c r="BU56" s="29">
        <v>2038097.05</v>
      </c>
      <c r="BW56" s="29">
        <v>1550639.72</v>
      </c>
      <c r="BY56" s="29">
        <v>1025939.8300000001</v>
      </c>
      <c r="CA56" s="29">
        <v>509973.63</v>
      </c>
      <c r="CC56" s="29">
        <v>4222984.33</v>
      </c>
      <c r="CE56" s="29">
        <v>3194648.69</v>
      </c>
      <c r="CG56" s="29">
        <v>2117210.2000000002</v>
      </c>
      <c r="CI56" s="29">
        <v>1058248.3799999999</v>
      </c>
      <c r="CK56" s="29"/>
      <c r="CM56" s="29"/>
      <c r="CO56" s="29"/>
      <c r="CQ56" s="29"/>
      <c r="CS56" s="29"/>
      <c r="CU56" s="29"/>
      <c r="CW56" s="29"/>
      <c r="CY56" s="29"/>
      <c r="DA56" s="29"/>
      <c r="DB56" s="75"/>
      <c r="DC56" s="29"/>
      <c r="DD56" s="5"/>
      <c r="DE56" s="29"/>
      <c r="DF56" s="5"/>
      <c r="DG56" s="29"/>
      <c r="DH56" s="5"/>
      <c r="DI56" s="29">
        <f>I56</f>
        <v>2796901.86</v>
      </c>
      <c r="DJ56" s="5"/>
      <c r="DK56" s="29">
        <f>K56-M56</f>
        <v>2421816.2000000002</v>
      </c>
      <c r="DL56" s="5"/>
      <c r="DM56" s="29">
        <f>M56-O56</f>
        <v>1828450.8199999998</v>
      </c>
      <c r="DN56" s="5"/>
      <c r="DO56" s="29">
        <f>O56-Q56</f>
        <v>1904694.37</v>
      </c>
      <c r="DP56" s="5"/>
      <c r="DQ56" s="29">
        <f>Q56</f>
        <v>1874942.31</v>
      </c>
      <c r="DR56" s="5"/>
      <c r="DS56" s="29">
        <f>S56-U56</f>
        <v>1775612.96</v>
      </c>
      <c r="DT56" s="5"/>
      <c r="DU56" s="29">
        <f>U56-W56</f>
        <v>1617472.5300000003</v>
      </c>
      <c r="DV56" s="5"/>
      <c r="DW56" s="29">
        <f>W56-Y56</f>
        <v>1526950.7499999998</v>
      </c>
      <c r="DX56" s="5"/>
      <c r="DY56" s="29">
        <f t="shared" ref="DY56" si="67">Y56</f>
        <v>1484328.76</v>
      </c>
      <c r="DZ56" s="5"/>
      <c r="EA56" s="29">
        <f t="shared" ref="EA56:EE56" si="68">AA56-AC56</f>
        <v>1515701.1300000008</v>
      </c>
      <c r="EB56" s="5"/>
      <c r="EC56" s="29">
        <f t="shared" si="68"/>
        <v>1482190.5699999998</v>
      </c>
      <c r="ED56" s="5"/>
      <c r="EE56" s="29">
        <f t="shared" si="68"/>
        <v>1463075.2199999997</v>
      </c>
      <c r="EF56" s="5"/>
      <c r="EG56" s="29">
        <f t="shared" ref="EG56" si="69">AG56</f>
        <v>1343918.56</v>
      </c>
      <c r="EH56" s="5"/>
      <c r="EI56" s="29">
        <f t="shared" ref="EI56:EK56" si="70">AI56-AK56</f>
        <v>1292346.1200000001</v>
      </c>
      <c r="EJ56" s="5"/>
      <c r="EK56" s="29">
        <f t="shared" si="70"/>
        <v>1370357.42</v>
      </c>
      <c r="EL56" s="5"/>
      <c r="EM56" s="29">
        <f t="shared" ref="EM56" si="71">AM56-AO56</f>
        <v>1325627.1299999999</v>
      </c>
      <c r="EN56" s="5"/>
      <c r="EO56" s="29">
        <f t="shared" ref="EO56:EO57" si="72">AO56</f>
        <v>1304395.46</v>
      </c>
      <c r="EP56" s="5"/>
      <c r="EQ56" s="29">
        <f>AQ56-AS56</f>
        <v>1240454.6800000002</v>
      </c>
      <c r="ER56" s="5"/>
      <c r="ES56" s="29">
        <f>AS56-AU56</f>
        <v>1142381.7199999997</v>
      </c>
      <c r="ET56" s="5"/>
      <c r="EU56" s="29">
        <f>AU56-AW56</f>
        <v>1108889.49</v>
      </c>
      <c r="EV56" s="5"/>
      <c r="EW56" s="29">
        <f t="shared" ref="EW56:EW57" si="73">AW56</f>
        <v>1114827.32</v>
      </c>
      <c r="EX56" s="5"/>
      <c r="EY56" s="29">
        <f>AY56-BA56</f>
        <v>864588.41000000015</v>
      </c>
      <c r="EZ56" s="5"/>
      <c r="FA56" s="29">
        <f>BA56-BC56</f>
        <v>922958.19999999972</v>
      </c>
      <c r="FB56" s="5"/>
      <c r="FC56" s="29">
        <f>BC56-BE56</f>
        <v>938055.53000000014</v>
      </c>
      <c r="FD56" s="5"/>
      <c r="FE56" s="29">
        <f t="shared" ref="FE56:FE57" si="74">BE56</f>
        <v>952583.13</v>
      </c>
      <c r="FF56" s="5"/>
      <c r="FG56" s="29">
        <f>271352.18</f>
        <v>271352.18</v>
      </c>
      <c r="FH56" s="5"/>
      <c r="FI56" s="29">
        <f>BI56-BK56</f>
        <v>660686.39999999991</v>
      </c>
      <c r="FJ56" s="5"/>
      <c r="FK56" s="29">
        <f>BK56-BM56</f>
        <v>653942.49000000022</v>
      </c>
      <c r="FL56" s="5"/>
      <c r="FM56" s="29">
        <f t="shared" ref="FI56:FQ57" si="75">BM56-BO56</f>
        <v>588264.09000000008</v>
      </c>
      <c r="FN56" s="5"/>
      <c r="FO56" s="29">
        <f>BO56-BQ56</f>
        <v>587901.17999999993</v>
      </c>
      <c r="FP56" s="5"/>
      <c r="FQ56" s="29">
        <f t="shared" si="75"/>
        <v>587208.13</v>
      </c>
      <c r="FR56" s="5"/>
      <c r="FS56" s="29">
        <f>BS56</f>
        <v>581778.35</v>
      </c>
      <c r="FT56" s="5"/>
      <c r="FU56" s="29">
        <f t="shared" ref="FU56:FY57" si="76">BU56-BW56</f>
        <v>487457.33000000007</v>
      </c>
      <c r="FV56" s="5"/>
      <c r="FW56" s="29">
        <f t="shared" si="76"/>
        <v>524699.8899999999</v>
      </c>
      <c r="FX56" s="5"/>
      <c r="FY56" s="29">
        <f t="shared" si="76"/>
        <v>515966.20000000007</v>
      </c>
      <c r="FZ56" s="5"/>
      <c r="GA56" s="29">
        <f>CA56</f>
        <v>509973.63</v>
      </c>
      <c r="GB56" s="5"/>
      <c r="GC56" s="29">
        <f>CC56-CE56</f>
        <v>1028335.6400000001</v>
      </c>
      <c r="GD56" s="5"/>
      <c r="GE56" s="29">
        <f>CE56-CG56</f>
        <v>1077438.4899999998</v>
      </c>
      <c r="GF56" s="5"/>
      <c r="GG56" s="29">
        <f>CG56-CI56</f>
        <v>1058961.8200000003</v>
      </c>
      <c r="GH56" s="5"/>
      <c r="GI56" s="29">
        <f>CI56</f>
        <v>1058248.3799999999</v>
      </c>
      <c r="GJ56" s="5"/>
      <c r="GK56" s="29"/>
      <c r="GL56" s="5"/>
      <c r="GM56" s="29"/>
      <c r="GN56" s="5"/>
      <c r="GO56" s="29"/>
      <c r="GP56" s="5"/>
      <c r="GQ56" s="29"/>
      <c r="GR56" s="5"/>
      <c r="GS56" s="29"/>
      <c r="GT56" s="5"/>
      <c r="GU56" s="29"/>
    </row>
    <row r="57" spans="1:203">
      <c r="A57" s="26" t="s">
        <v>151</v>
      </c>
      <c r="C57" s="29"/>
      <c r="E57" s="29"/>
      <c r="G57" s="29"/>
      <c r="I57" s="29">
        <f>I16+I56</f>
        <v>37276579.680000007</v>
      </c>
      <c r="K57" s="29">
        <f>K16+K56</f>
        <v>74742112.669999972</v>
      </c>
      <c r="M57" s="29">
        <f>M16+M56</f>
        <v>51759962.060000002</v>
      </c>
      <c r="O57" s="29">
        <f>O16+O56</f>
        <v>41009365.70000001</v>
      </c>
      <c r="Q57" s="29">
        <f>Q16+Q56</f>
        <v>30796176.939999994</v>
      </c>
      <c r="S57" s="29">
        <f>S16+S56</f>
        <v>37917670.919999987</v>
      </c>
      <c r="U57" s="29">
        <f>U16+U56</f>
        <v>23067324.550000019</v>
      </c>
      <c r="W57" s="29">
        <f>W16+W56</f>
        <v>17389738.240000002</v>
      </c>
      <c r="Y57" s="29">
        <f>Y16+Y56</f>
        <v>15415556.090000013</v>
      </c>
      <c r="AA57" s="29">
        <f>AA16+AA56</f>
        <v>9748933.5300000273</v>
      </c>
      <c r="AC57" s="29">
        <f>AC16+AC56</f>
        <v>5458028.8099999931</v>
      </c>
      <c r="AE57" s="29">
        <f>AE16+AE56</f>
        <v>4370709.6800000053</v>
      </c>
      <c r="AG57" s="29">
        <f>AG16+AG56</f>
        <v>2223188.0700000017</v>
      </c>
      <c r="AI57" s="29">
        <f>AI16+AI56</f>
        <v>11744100.539999995</v>
      </c>
      <c r="AK57" s="29">
        <f>AK16+AK56</f>
        <v>7064791.9900000039</v>
      </c>
      <c r="AM57" s="29">
        <f>AM16+AM56</f>
        <v>7991785.0500000007</v>
      </c>
      <c r="AO57" s="29">
        <f>AO16+AO56</f>
        <v>4922796.6700000009</v>
      </c>
      <c r="AQ57" s="29">
        <f>AQ16+AQ56</f>
        <v>11223712.160000004</v>
      </c>
      <c r="AS57" s="29">
        <f>AS16+AS56</f>
        <v>7258546.2599999886</v>
      </c>
      <c r="AU57" s="29">
        <f>AU16+AU56</f>
        <v>5817904.1100000124</v>
      </c>
      <c r="AW57" s="29">
        <f>AW16+AW56</f>
        <v>2754502.2500000037</v>
      </c>
      <c r="AY57" s="29">
        <f>AY16+AY56</f>
        <v>13717943.100000013</v>
      </c>
      <c r="BA57" s="29">
        <f>BA16+BA56</f>
        <v>13575465.910000011</v>
      </c>
      <c r="BC57" s="29">
        <f>BC16+BC56</f>
        <v>13059391.39999998</v>
      </c>
      <c r="BE57" s="29">
        <f>BE16+BE56</f>
        <v>11088939.669999992</v>
      </c>
      <c r="BG57" s="29">
        <f>BG16+BG56</f>
        <v>3145693.9899999974</v>
      </c>
      <c r="BI57" s="29">
        <f>BI16+BI56</f>
        <v>4380272.9700000063</v>
      </c>
      <c r="BK57" s="29">
        <f>BK16+BK56</f>
        <v>4833244.6799999978</v>
      </c>
      <c r="BM57" s="29">
        <f>BM16+BM56</f>
        <v>4563127.7999999896</v>
      </c>
      <c r="BO57" s="29">
        <f>BO16+BO56</f>
        <v>586536.35000000126</v>
      </c>
      <c r="BQ57" s="29">
        <f>BQ16+BQ56</f>
        <v>540559.17000000132</v>
      </c>
      <c r="BS57" s="29">
        <f>BS16+BS56</f>
        <v>71203.809999999939</v>
      </c>
      <c r="BU57" s="29">
        <f>BU16+BU56</f>
        <v>4493192.9599999962</v>
      </c>
      <c r="BW57" s="29">
        <f>BW16+BW56</f>
        <v>573385.11999999848</v>
      </c>
      <c r="BY57" s="29">
        <f>BY16+BY56</f>
        <v>91962.960000002757</v>
      </c>
      <c r="CA57" s="29">
        <f>CA16+CA56</f>
        <v>-70901.009999998729</v>
      </c>
      <c r="CC57" s="29">
        <f>CC16+CC56</f>
        <v>4147920.4200000037</v>
      </c>
      <c r="CE57" s="29">
        <f>CE16+CE56</f>
        <v>1945520.2999999993</v>
      </c>
      <c r="CG57" s="29">
        <f>CG16+CG56</f>
        <v>-1105190.4899999993</v>
      </c>
      <c r="CI57" s="29">
        <f>CI16+CI56</f>
        <v>430212.77000000048</v>
      </c>
      <c r="CK57" s="29"/>
      <c r="CM57" s="29"/>
      <c r="CO57" s="29"/>
      <c r="CQ57" s="29"/>
      <c r="CS57" s="29"/>
      <c r="CU57" s="29"/>
      <c r="CW57" s="29"/>
      <c r="CY57" s="29"/>
      <c r="DA57" s="29"/>
      <c r="DB57" s="78"/>
      <c r="DC57" s="29"/>
      <c r="DD57" s="5"/>
      <c r="DE57" s="29"/>
      <c r="DF57" s="5"/>
      <c r="DG57" s="29"/>
      <c r="DH57" s="5"/>
      <c r="DI57" s="29">
        <f>DI16+DI56</f>
        <v>37276579.680000007</v>
      </c>
      <c r="DJ57" s="5"/>
      <c r="DK57" s="29">
        <f>DK16+DK56</f>
        <v>22982150.610000011</v>
      </c>
      <c r="DL57" s="5"/>
      <c r="DM57" s="29">
        <f>DM16+DM56</f>
        <v>10750596.360000022</v>
      </c>
      <c r="DN57" s="5"/>
      <c r="DO57" s="29">
        <f>DO16+DO56</f>
        <v>10213188.759999987</v>
      </c>
      <c r="DP57" s="5"/>
      <c r="DQ57" s="29">
        <f>DQ16+DQ56</f>
        <v>30796176.939999994</v>
      </c>
      <c r="DR57" s="5"/>
      <c r="DS57" s="29">
        <f>DS16+DS56</f>
        <v>14850346.369999997</v>
      </c>
      <c r="DT57" s="5"/>
      <c r="DU57" s="29">
        <f>DU16+DU56</f>
        <v>5677586.3100000015</v>
      </c>
      <c r="DV57" s="5"/>
      <c r="DW57" s="29">
        <f>DW16+DW56</f>
        <v>1974182.1500000095</v>
      </c>
      <c r="DX57" s="5"/>
      <c r="DY57" s="29">
        <f>DY16+DY56</f>
        <v>15415556.090000013</v>
      </c>
      <c r="DZ57" s="5"/>
      <c r="EA57" s="29">
        <f>EA16+EA56</f>
        <v>4290904.7200000193</v>
      </c>
      <c r="EB57" s="5"/>
      <c r="EC57" s="29">
        <f>EC16+EC56</f>
        <v>1087319.1299999948</v>
      </c>
      <c r="ED57" s="5"/>
      <c r="EE57" s="29">
        <f>EE16+EE56</f>
        <v>2147521.6100000041</v>
      </c>
      <c r="EF57" s="5"/>
      <c r="EG57" s="29">
        <f>EG16+EG56</f>
        <v>2223188.0700000017</v>
      </c>
      <c r="EH57" s="5"/>
      <c r="EI57" s="29">
        <f>AI57-AK57</f>
        <v>4679308.5499999914</v>
      </c>
      <c r="EJ57" s="5"/>
      <c r="EK57" s="29">
        <f>AK57-AM57</f>
        <v>-926993.0599999968</v>
      </c>
      <c r="EL57" s="5"/>
      <c r="EM57" s="29">
        <f>AM57-AO57</f>
        <v>3068988.38</v>
      </c>
      <c r="EN57" s="5"/>
      <c r="EO57" s="29">
        <f t="shared" si="72"/>
        <v>4922796.6700000009</v>
      </c>
      <c r="EP57" s="5"/>
      <c r="EQ57" s="29">
        <f>AQ57-AS57</f>
        <v>3965165.9000000153</v>
      </c>
      <c r="ER57" s="5"/>
      <c r="ES57" s="29">
        <f t="shared" ref="ES57" si="77">AS57-AU57</f>
        <v>1440642.1499999762</v>
      </c>
      <c r="ET57" s="5"/>
      <c r="EU57" s="29">
        <f t="shared" ref="EU57" si="78">AU57-AW57</f>
        <v>3063401.8600000087</v>
      </c>
      <c r="EV57" s="5"/>
      <c r="EW57" s="29">
        <f t="shared" si="73"/>
        <v>2754502.2500000037</v>
      </c>
      <c r="EX57" s="5"/>
      <c r="EY57" s="29">
        <f t="shared" ref="EY57:FC57" si="79">AY57-BA57</f>
        <v>142477.19000000134</v>
      </c>
      <c r="EZ57" s="5"/>
      <c r="FA57" s="29">
        <f t="shared" si="79"/>
        <v>516074.51000003144</v>
      </c>
      <c r="FB57" s="5"/>
      <c r="FC57" s="29">
        <f t="shared" si="79"/>
        <v>1970451.7299999874</v>
      </c>
      <c r="FD57" s="5"/>
      <c r="FE57" s="29">
        <f t="shared" si="74"/>
        <v>11088939.669999992</v>
      </c>
      <c r="FF57" s="5"/>
      <c r="FG57" s="29">
        <f>FG16+FG56</f>
        <v>-904207.68000000692</v>
      </c>
      <c r="FH57" s="5"/>
      <c r="FI57" s="29">
        <f t="shared" si="75"/>
        <v>-452971.70999999158</v>
      </c>
      <c r="FJ57" s="5"/>
      <c r="FK57" s="29">
        <f t="shared" si="75"/>
        <v>270116.88000000827</v>
      </c>
      <c r="FL57" s="5"/>
      <c r="FM57" s="29">
        <f t="shared" si="75"/>
        <v>3976591.4499999881</v>
      </c>
      <c r="FN57" s="5"/>
      <c r="FO57" s="29">
        <f>BO57-BQ57</f>
        <v>45977.179999999935</v>
      </c>
      <c r="FP57" s="5"/>
      <c r="FQ57" s="29">
        <f t="shared" si="75"/>
        <v>469355.36000000138</v>
      </c>
      <c r="FR57" s="5"/>
      <c r="FS57" s="29">
        <f>BS57</f>
        <v>71203.809999999939</v>
      </c>
      <c r="FT57" s="5"/>
      <c r="FU57" s="29">
        <f t="shared" si="76"/>
        <v>3919807.839999998</v>
      </c>
      <c r="FV57" s="5"/>
      <c r="FW57" s="29">
        <f t="shared" si="76"/>
        <v>481422.15999999573</v>
      </c>
      <c r="FX57" s="5"/>
      <c r="FY57" s="29">
        <f t="shared" si="76"/>
        <v>162863.97000000149</v>
      </c>
      <c r="FZ57" s="5"/>
      <c r="GA57" s="29">
        <f>CA57</f>
        <v>-70901.009999998729</v>
      </c>
      <c r="GB57" s="5"/>
      <c r="GC57" s="29">
        <f>CC57-CE57</f>
        <v>2202400.1200000043</v>
      </c>
      <c r="GD57" s="5"/>
      <c r="GE57" s="29">
        <f>CE57-CG57</f>
        <v>3050710.7899999986</v>
      </c>
      <c r="GF57" s="5"/>
      <c r="GG57" s="29">
        <f>CG57-CI57</f>
        <v>-1535403.2599999998</v>
      </c>
      <c r="GH57" s="5"/>
      <c r="GI57" s="29">
        <f>CI57</f>
        <v>430212.77000000048</v>
      </c>
      <c r="GJ57" s="5"/>
      <c r="GK57" s="29"/>
      <c r="GL57" s="5"/>
      <c r="GM57" s="29"/>
      <c r="GN57" s="5"/>
      <c r="GO57" s="29"/>
      <c r="GP57" s="5"/>
      <c r="GQ57" s="29"/>
      <c r="GR57" s="5"/>
      <c r="GS57" s="29"/>
      <c r="GT57" s="5"/>
      <c r="GU57" s="29"/>
    </row>
    <row r="58" spans="1:203">
      <c r="C58" s="29"/>
      <c r="E58" s="29"/>
      <c r="G58" s="29"/>
      <c r="I58" s="29"/>
      <c r="K58" s="29"/>
      <c r="M58" s="29"/>
      <c r="O58" s="29"/>
      <c r="Q58" s="29"/>
      <c r="S58" s="29"/>
      <c r="U58" s="29"/>
      <c r="W58" s="29"/>
      <c r="Y58" s="29"/>
      <c r="AA58" s="29"/>
      <c r="AC58" s="29"/>
      <c r="AE58" s="29"/>
      <c r="AG58" s="29"/>
      <c r="AI58" s="29"/>
      <c r="AK58" s="29"/>
      <c r="AM58" s="29"/>
      <c r="AO58" s="29"/>
      <c r="AQ58" s="29"/>
      <c r="AS58" s="29"/>
      <c r="AU58" s="29"/>
      <c r="AW58" s="29"/>
      <c r="AY58" s="29"/>
      <c r="BA58" s="29"/>
      <c r="BC58" s="29"/>
      <c r="BE58" s="29"/>
      <c r="BG58" s="29"/>
      <c r="BI58" s="29"/>
      <c r="BK58" s="29"/>
      <c r="BM58" s="29"/>
      <c r="BO58" s="29"/>
      <c r="BQ58" s="29"/>
      <c r="BS58" s="29"/>
      <c r="BU58" s="29"/>
      <c r="BW58" s="29"/>
      <c r="BY58" s="29"/>
      <c r="CA58" s="29"/>
      <c r="CC58" s="29"/>
      <c r="CE58" s="29"/>
      <c r="CG58" s="29"/>
      <c r="CI58" s="29"/>
      <c r="CK58" s="29"/>
      <c r="CM58" s="29"/>
      <c r="CO58" s="29"/>
      <c r="CQ58" s="29"/>
      <c r="CS58" s="29"/>
      <c r="CU58" s="29"/>
      <c r="CW58" s="29"/>
      <c r="CY58" s="29"/>
      <c r="DA58" s="29"/>
      <c r="DB58" s="75"/>
      <c r="DC58" s="29"/>
      <c r="DD58" s="5"/>
      <c r="DE58" s="29"/>
      <c r="DF58" s="5"/>
      <c r="DG58" s="29"/>
      <c r="DH58" s="5"/>
      <c r="DI58" s="29"/>
      <c r="DJ58" s="5"/>
      <c r="DK58" s="29"/>
      <c r="DL58" s="5"/>
      <c r="DM58" s="29"/>
      <c r="DN58" s="5"/>
      <c r="DO58" s="29"/>
      <c r="DP58" s="5"/>
      <c r="DQ58" s="29"/>
      <c r="DR58" s="5"/>
      <c r="DS58" s="29"/>
      <c r="DT58" s="5"/>
      <c r="DU58" s="29"/>
      <c r="DV58" s="5"/>
      <c r="DW58" s="29"/>
      <c r="DX58" s="5"/>
      <c r="DY58" s="29"/>
      <c r="DZ58" s="5"/>
      <c r="EA58" s="29"/>
      <c r="EB58" s="5"/>
      <c r="EC58" s="29"/>
      <c r="ED58" s="5"/>
      <c r="EE58" s="29"/>
      <c r="EF58" s="5"/>
      <c r="EG58" s="29"/>
      <c r="EH58" s="5"/>
      <c r="EI58" s="29"/>
      <c r="EJ58" s="5"/>
      <c r="EK58" s="29"/>
      <c r="EL58" s="5"/>
      <c r="EM58" s="29"/>
      <c r="EN58" s="5"/>
      <c r="EO58" s="29"/>
      <c r="EP58" s="5"/>
      <c r="EQ58" s="29"/>
      <c r="ER58" s="5"/>
      <c r="ES58" s="29"/>
      <c r="ET58" s="5"/>
      <c r="EU58" s="29"/>
      <c r="EV58" s="5"/>
      <c r="EW58" s="29"/>
      <c r="EX58" s="5"/>
      <c r="EY58" s="29"/>
      <c r="EZ58" s="5"/>
      <c r="FA58" s="29"/>
      <c r="FB58" s="5"/>
      <c r="FC58" s="29"/>
      <c r="FD58" s="5"/>
      <c r="FE58" s="29"/>
      <c r="FF58" s="5"/>
      <c r="FG58" s="29"/>
      <c r="FH58" s="5"/>
      <c r="FI58" s="29"/>
      <c r="FJ58" s="5"/>
      <c r="FK58" s="29"/>
      <c r="FL58" s="5"/>
      <c r="FM58" s="29"/>
      <c r="FN58" s="5"/>
      <c r="FO58" s="29"/>
      <c r="FP58" s="5"/>
      <c r="FQ58" s="29"/>
      <c r="FR58" s="5"/>
      <c r="FS58" s="29"/>
      <c r="FT58" s="5"/>
      <c r="FU58" s="29"/>
      <c r="FV58" s="5"/>
      <c r="FW58" s="29"/>
      <c r="FX58" s="5"/>
      <c r="FY58" s="29"/>
      <c r="FZ58" s="5"/>
      <c r="GA58" s="29"/>
      <c r="GB58" s="5"/>
      <c r="GC58" s="29"/>
      <c r="GD58" s="5"/>
      <c r="GE58" s="29"/>
      <c r="GF58" s="5"/>
      <c r="GG58" s="29"/>
      <c r="GH58" s="5"/>
      <c r="GI58" s="29"/>
      <c r="GJ58" s="5"/>
      <c r="GK58" s="29"/>
      <c r="GL58" s="5"/>
      <c r="GM58" s="29"/>
      <c r="GN58" s="5"/>
      <c r="GO58" s="29"/>
      <c r="GP58" s="5"/>
      <c r="GQ58" s="29"/>
      <c r="GR58" s="5"/>
      <c r="GS58" s="29"/>
      <c r="GT58" s="5"/>
      <c r="GU58" s="29"/>
    </row>
    <row r="59" spans="1:203">
      <c r="C59" s="29"/>
      <c r="E59" s="29"/>
      <c r="G59" s="29"/>
      <c r="I59" s="29"/>
      <c r="K59" s="29"/>
      <c r="M59" s="29"/>
      <c r="O59" s="29"/>
      <c r="Q59" s="29"/>
      <c r="S59" s="29"/>
      <c r="U59" s="29"/>
      <c r="W59" s="29"/>
      <c r="Y59" s="29"/>
      <c r="AA59" s="29"/>
      <c r="AC59" s="29"/>
      <c r="AE59" s="29"/>
      <c r="AG59" s="29"/>
      <c r="AI59" s="29"/>
      <c r="AK59" s="29"/>
      <c r="AM59" s="29"/>
      <c r="AO59" s="29"/>
      <c r="AQ59" s="29"/>
      <c r="AS59" s="29"/>
      <c r="AU59" s="29"/>
      <c r="AW59" s="29"/>
      <c r="AY59" s="29"/>
      <c r="BA59" s="29"/>
      <c r="BC59" s="29"/>
      <c r="BE59" s="29"/>
      <c r="BG59" s="29"/>
      <c r="BI59" s="29"/>
      <c r="BK59" s="29"/>
      <c r="BM59" s="29"/>
      <c r="BO59" s="29"/>
      <c r="BQ59" s="29"/>
      <c r="BS59" s="29"/>
      <c r="BU59" s="29"/>
      <c r="BW59" s="29"/>
      <c r="BY59" s="29"/>
      <c r="CA59" s="29"/>
      <c r="CC59" s="29"/>
      <c r="CE59" s="29"/>
      <c r="CG59" s="29"/>
      <c r="CI59" s="29"/>
      <c r="CK59" s="29"/>
      <c r="CM59" s="29"/>
      <c r="CO59" s="29"/>
      <c r="CQ59" s="29"/>
      <c r="CS59" s="29"/>
      <c r="CU59" s="29"/>
      <c r="CW59" s="29"/>
      <c r="CY59" s="29"/>
      <c r="DA59" s="29"/>
      <c r="DB59" s="78"/>
      <c r="DC59" s="29"/>
      <c r="DD59" s="5"/>
      <c r="DE59" s="29"/>
      <c r="DF59" s="5"/>
      <c r="DG59" s="29"/>
      <c r="DH59" s="5"/>
      <c r="DI59" s="29"/>
      <c r="DJ59" s="5"/>
      <c r="DK59" s="29"/>
      <c r="DL59" s="5"/>
      <c r="DM59" s="29"/>
      <c r="DN59" s="5"/>
      <c r="DO59" s="29"/>
      <c r="DP59" s="5"/>
      <c r="DQ59" s="29"/>
      <c r="DR59" s="5"/>
      <c r="DS59" s="29"/>
      <c r="DT59" s="5"/>
      <c r="DU59" s="29"/>
      <c r="DV59" s="5"/>
      <c r="DW59" s="29"/>
      <c r="DX59" s="5"/>
      <c r="DY59" s="29"/>
      <c r="DZ59" s="5"/>
      <c r="EA59" s="29"/>
      <c r="EB59" s="5"/>
      <c r="EC59" s="29"/>
      <c r="ED59" s="5"/>
      <c r="EE59" s="29"/>
      <c r="EF59" s="5"/>
      <c r="EG59" s="29"/>
      <c r="EH59" s="5"/>
      <c r="EI59" s="29"/>
      <c r="EJ59" s="5"/>
      <c r="EK59" s="29"/>
      <c r="EL59" s="5"/>
      <c r="EM59" s="29"/>
      <c r="EN59" s="5"/>
      <c r="EO59" s="29"/>
      <c r="EP59" s="5"/>
      <c r="EQ59" s="29"/>
      <c r="ER59" s="5"/>
      <c r="ES59" s="29"/>
      <c r="ET59" s="5"/>
      <c r="EU59" s="29"/>
      <c r="EV59" s="5"/>
      <c r="EW59" s="29"/>
      <c r="EX59" s="5"/>
      <c r="EY59" s="29"/>
      <c r="EZ59" s="5"/>
      <c r="FA59" s="29"/>
      <c r="FB59" s="5"/>
      <c r="FC59" s="29"/>
      <c r="FD59" s="5"/>
      <c r="FE59" s="29"/>
      <c r="FF59" s="5"/>
      <c r="FG59" s="29"/>
      <c r="FH59" s="5"/>
      <c r="FI59" s="29"/>
      <c r="FJ59" s="5"/>
      <c r="FK59" s="29"/>
      <c r="FL59" s="5"/>
      <c r="FM59" s="29"/>
      <c r="FN59" s="5"/>
      <c r="FO59" s="29"/>
      <c r="FP59" s="5"/>
      <c r="FQ59" s="29"/>
      <c r="FR59" s="5"/>
      <c r="FS59" s="29"/>
      <c r="FT59" s="5"/>
      <c r="FU59" s="29"/>
      <c r="FV59" s="5"/>
      <c r="FW59" s="29"/>
      <c r="FX59" s="5"/>
      <c r="FY59" s="29"/>
      <c r="FZ59" s="5"/>
      <c r="GA59" s="29"/>
      <c r="GB59" s="5"/>
      <c r="GC59" s="29"/>
      <c r="GD59" s="5"/>
      <c r="GE59" s="29"/>
      <c r="GF59" s="5"/>
      <c r="GG59" s="29"/>
      <c r="GH59" s="5"/>
      <c r="GI59" s="29"/>
      <c r="GJ59" s="5"/>
      <c r="GK59" s="29"/>
      <c r="GL59" s="5"/>
      <c r="GM59" s="29"/>
      <c r="GN59" s="5"/>
      <c r="GO59" s="29"/>
      <c r="GP59" s="5"/>
      <c r="GQ59" s="29"/>
      <c r="GR59" s="5"/>
      <c r="GS59" s="29"/>
      <c r="GT59" s="5"/>
      <c r="GU59" s="29"/>
    </row>
    <row r="60" spans="1:203" ht="13">
      <c r="B60" s="39"/>
      <c r="C60" s="32"/>
      <c r="D60" s="39"/>
      <c r="E60" s="32"/>
      <c r="F60" s="39"/>
      <c r="G60" s="32"/>
      <c r="H60" s="39"/>
      <c r="I60" s="32"/>
      <c r="J60" s="39"/>
      <c r="K60" s="32"/>
      <c r="L60" s="39"/>
      <c r="M60" s="32"/>
      <c r="N60" s="39"/>
      <c r="O60" s="32"/>
      <c r="P60" s="39"/>
      <c r="Q60" s="32"/>
      <c r="R60" s="39"/>
      <c r="S60" s="32"/>
      <c r="T60" s="39"/>
      <c r="U60" s="32"/>
      <c r="V60" s="39"/>
      <c r="W60" s="32"/>
      <c r="X60" s="39"/>
      <c r="Y60" s="32"/>
      <c r="Z60" s="39"/>
      <c r="AA60" s="32"/>
      <c r="AB60" s="39"/>
      <c r="AC60" s="32"/>
      <c r="AD60" s="39"/>
      <c r="AE60" s="32"/>
      <c r="AF60" s="39"/>
      <c r="AG60" s="32"/>
      <c r="AH60" s="39"/>
      <c r="AI60" s="32"/>
      <c r="AJ60" s="39"/>
      <c r="AK60" s="32"/>
      <c r="AL60" s="39"/>
      <c r="AM60" s="32"/>
      <c r="AN60" s="39"/>
      <c r="AO60" s="32"/>
      <c r="AP60" s="39"/>
      <c r="AQ60" s="32"/>
      <c r="AR60" s="39"/>
      <c r="AS60" s="32"/>
      <c r="AT60" s="39"/>
      <c r="AU60" s="32"/>
      <c r="AV60" s="39"/>
      <c r="AW60" s="32"/>
      <c r="AX60" s="39"/>
      <c r="AY60" s="32"/>
      <c r="AZ60" s="39"/>
      <c r="BA60" s="32"/>
      <c r="BB60" s="39"/>
      <c r="BC60" s="32"/>
      <c r="BD60" s="39"/>
      <c r="BE60" s="32"/>
      <c r="BF60" s="39"/>
      <c r="BG60" s="32"/>
      <c r="BH60" s="39"/>
      <c r="BI60" s="32"/>
      <c r="BJ60" s="39"/>
      <c r="BK60" s="32"/>
      <c r="BL60" s="39"/>
      <c r="BM60" s="32"/>
      <c r="BN60" s="39"/>
      <c r="BO60" s="32"/>
      <c r="BP60" s="39"/>
      <c r="BQ60" s="32"/>
      <c r="BR60" s="39"/>
      <c r="BS60" s="32"/>
      <c r="BT60" s="39"/>
      <c r="BU60" s="32"/>
      <c r="BV60" s="39"/>
      <c r="BW60" s="32"/>
      <c r="BX60" s="39"/>
      <c r="BY60" s="32"/>
      <c r="BZ60" s="39"/>
      <c r="CA60" s="32"/>
      <c r="CB60" s="39"/>
      <c r="CC60" s="32"/>
      <c r="CD60" s="39"/>
      <c r="CE60" s="32"/>
      <c r="CF60" s="39"/>
      <c r="CG60" s="32"/>
      <c r="CH60" s="39"/>
      <c r="CI60" s="32"/>
      <c r="CJ60" s="39"/>
      <c r="CK60" s="32"/>
      <c r="CL60" s="39"/>
      <c r="CM60" s="32"/>
      <c r="CN60" s="39"/>
      <c r="CO60" s="32"/>
      <c r="CP60" s="39"/>
      <c r="CQ60" s="32"/>
      <c r="CR60" s="39"/>
      <c r="CS60" s="32"/>
      <c r="CT60" s="39"/>
      <c r="CU60" s="32"/>
      <c r="CV60" s="39"/>
      <c r="CW60" s="32"/>
      <c r="CX60" s="39"/>
      <c r="CY60" s="32"/>
      <c r="CZ60" s="39"/>
      <c r="DA60" s="32"/>
      <c r="DC60" s="32"/>
      <c r="DD60" s="36"/>
      <c r="DE60" s="32"/>
      <c r="DF60" s="36"/>
      <c r="DG60" s="32"/>
      <c r="DH60" s="36"/>
      <c r="DI60" s="32"/>
      <c r="DJ60" s="36"/>
      <c r="DK60" s="32"/>
      <c r="DL60" s="36"/>
      <c r="DM60" s="32"/>
      <c r="DN60" s="36"/>
      <c r="DO60" s="32"/>
      <c r="DP60" s="36"/>
      <c r="DQ60" s="32"/>
      <c r="DR60" s="36"/>
      <c r="DS60" s="32"/>
      <c r="DT60" s="36"/>
      <c r="DU60" s="32"/>
      <c r="DV60" s="36"/>
      <c r="DW60" s="32"/>
      <c r="DX60" s="36"/>
      <c r="DY60" s="32"/>
      <c r="DZ60" s="36"/>
      <c r="EA60" s="32"/>
      <c r="EB60" s="36"/>
      <c r="EC60" s="32"/>
      <c r="ED60" s="36"/>
      <c r="EE60" s="32"/>
      <c r="EF60" s="36"/>
      <c r="EG60" s="32"/>
      <c r="EH60" s="36"/>
      <c r="EI60" s="32"/>
      <c r="EJ60" s="36"/>
      <c r="EK60" s="32"/>
      <c r="EL60" s="36"/>
      <c r="EM60" s="32"/>
      <c r="EN60" s="36"/>
      <c r="EO60" s="32"/>
      <c r="EP60" s="36"/>
      <c r="EQ60" s="32"/>
      <c r="ER60" s="36"/>
      <c r="ES60" s="32"/>
      <c r="ET60" s="36"/>
      <c r="EU60" s="32"/>
      <c r="EV60" s="36"/>
      <c r="EW60" s="32"/>
      <c r="EX60" s="36"/>
      <c r="EY60" s="32"/>
      <c r="EZ60" s="36"/>
      <c r="FA60" s="32"/>
      <c r="FB60" s="36"/>
      <c r="FC60" s="32"/>
      <c r="FD60" s="36"/>
      <c r="FE60" s="32"/>
      <c r="FF60" s="36"/>
      <c r="FG60" s="32"/>
      <c r="FH60" s="36"/>
      <c r="FI60" s="32"/>
      <c r="FJ60" s="36"/>
      <c r="FK60" s="32"/>
      <c r="FL60" s="36"/>
      <c r="FM60" s="32"/>
      <c r="FN60" s="36"/>
      <c r="FO60" s="32"/>
      <c r="FP60" s="36"/>
      <c r="FQ60" s="32"/>
      <c r="FR60" s="36"/>
      <c r="FS60" s="32"/>
      <c r="FT60" s="36"/>
      <c r="FU60" s="32"/>
      <c r="FV60" s="36"/>
      <c r="FW60" s="32"/>
      <c r="FX60" s="36"/>
      <c r="FY60" s="32"/>
      <c r="FZ60" s="36"/>
      <c r="GA60" s="32"/>
      <c r="GB60" s="36"/>
      <c r="GC60" s="32"/>
      <c r="GD60" s="36"/>
      <c r="GE60" s="32"/>
      <c r="GF60" s="36"/>
      <c r="GG60" s="32"/>
      <c r="GH60" s="36"/>
      <c r="GI60" s="32"/>
      <c r="GJ60" s="36"/>
      <c r="GK60" s="32"/>
      <c r="GL60" s="36"/>
      <c r="GM60" s="32"/>
      <c r="GN60" s="36"/>
      <c r="GO60" s="32"/>
      <c r="GP60" s="36"/>
      <c r="GQ60" s="32"/>
      <c r="GR60" s="36"/>
      <c r="GS60" s="32"/>
      <c r="GT60" s="36"/>
      <c r="GU60" s="32"/>
    </row>
    <row r="61" spans="1:203">
      <c r="C61" s="29"/>
      <c r="E61" s="29"/>
      <c r="G61" s="29"/>
      <c r="I61" s="29"/>
      <c r="K61" s="29"/>
      <c r="M61" s="29"/>
      <c r="O61" s="29"/>
      <c r="Q61" s="29"/>
      <c r="S61" s="29"/>
      <c r="U61" s="29"/>
      <c r="W61" s="29"/>
      <c r="Y61" s="29"/>
      <c r="AA61" s="29"/>
      <c r="AC61" s="29"/>
      <c r="AE61" s="29"/>
      <c r="AG61" s="29"/>
      <c r="AI61" s="29"/>
      <c r="AK61" s="29"/>
      <c r="AM61" s="29"/>
      <c r="AO61" s="29"/>
      <c r="AQ61" s="29"/>
      <c r="AS61" s="29"/>
      <c r="AU61" s="29"/>
      <c r="AW61" s="29"/>
      <c r="AY61" s="29"/>
      <c r="BA61" s="29"/>
      <c r="BC61" s="29"/>
      <c r="BE61" s="29"/>
      <c r="BG61" s="29"/>
      <c r="BI61" s="29"/>
      <c r="BK61" s="29"/>
      <c r="BM61" s="29"/>
      <c r="BO61" s="29"/>
      <c r="BQ61" s="29"/>
      <c r="BS61" s="29"/>
      <c r="BU61" s="29"/>
      <c r="BW61" s="29"/>
      <c r="BY61" s="29"/>
      <c r="CA61" s="29"/>
      <c r="CC61" s="29"/>
      <c r="CE61" s="29"/>
      <c r="CG61" s="29"/>
      <c r="CI61" s="29"/>
      <c r="CK61" s="29"/>
      <c r="CM61" s="29"/>
      <c r="CO61" s="29"/>
      <c r="CQ61" s="29"/>
      <c r="CS61" s="29"/>
      <c r="CU61" s="29"/>
      <c r="CW61" s="29"/>
      <c r="CY61" s="29"/>
      <c r="DA61" s="29"/>
      <c r="DB61" s="112"/>
    </row>
    <row r="62" spans="1:203" ht="13">
      <c r="B62" s="39"/>
      <c r="C62" s="32"/>
      <c r="D62" s="39"/>
      <c r="E62" s="32"/>
      <c r="F62" s="39"/>
      <c r="G62" s="32"/>
      <c r="H62" s="39"/>
      <c r="I62" s="32"/>
      <c r="J62" s="39"/>
      <c r="K62" s="32"/>
      <c r="L62" s="39"/>
      <c r="M62" s="32"/>
      <c r="N62" s="39"/>
      <c r="O62" s="32"/>
      <c r="P62" s="39"/>
      <c r="Q62" s="32"/>
      <c r="R62" s="39"/>
      <c r="S62" s="32"/>
      <c r="T62" s="39"/>
      <c r="U62" s="32"/>
      <c r="V62" s="39"/>
      <c r="W62" s="32"/>
      <c r="X62" s="39"/>
      <c r="Y62" s="32"/>
      <c r="Z62" s="39"/>
      <c r="AA62" s="32"/>
      <c r="AB62" s="39"/>
      <c r="AC62" s="32"/>
      <c r="AD62" s="39"/>
      <c r="AE62" s="32"/>
      <c r="AF62" s="39"/>
      <c r="AG62" s="32"/>
      <c r="AH62" s="39"/>
      <c r="AI62" s="32"/>
      <c r="AJ62" s="39"/>
      <c r="AK62" s="32"/>
      <c r="AL62" s="39"/>
      <c r="AM62" s="32"/>
      <c r="AN62" s="39"/>
      <c r="AO62" s="32"/>
      <c r="AP62" s="39"/>
      <c r="AQ62" s="32"/>
      <c r="AR62" s="39"/>
      <c r="AS62" s="32"/>
      <c r="AT62" s="39"/>
      <c r="AU62" s="32"/>
      <c r="AV62" s="39"/>
      <c r="AW62" s="32"/>
      <c r="AX62" s="39"/>
      <c r="AY62" s="32"/>
      <c r="AZ62" s="39"/>
      <c r="BA62" s="32"/>
      <c r="BB62" s="39"/>
      <c r="BC62" s="32"/>
      <c r="BD62" s="39"/>
      <c r="BE62" s="32"/>
      <c r="BF62" s="39"/>
      <c r="BG62" s="32"/>
      <c r="BH62" s="39"/>
      <c r="BI62" s="32"/>
      <c r="BJ62" s="39"/>
      <c r="BK62" s="32"/>
      <c r="BL62" s="39"/>
      <c r="BM62" s="32"/>
      <c r="BN62" s="39"/>
      <c r="BO62" s="32"/>
      <c r="BP62" s="39"/>
      <c r="BQ62" s="32"/>
      <c r="BR62" s="39"/>
      <c r="BS62" s="32"/>
      <c r="BT62" s="39"/>
      <c r="BU62" s="32"/>
      <c r="BV62" s="39"/>
      <c r="BW62" s="32"/>
      <c r="BX62" s="39"/>
      <c r="BY62" s="32"/>
      <c r="BZ62" s="39"/>
      <c r="CA62" s="32"/>
      <c r="CB62" s="39"/>
      <c r="CC62" s="32"/>
      <c r="CD62" s="39"/>
      <c r="CE62" s="32"/>
      <c r="CF62" s="39"/>
      <c r="CG62" s="32"/>
      <c r="CH62" s="39"/>
      <c r="CI62" s="32"/>
      <c r="CJ62" s="39"/>
      <c r="CK62" s="32"/>
      <c r="CL62" s="39"/>
      <c r="CM62" s="32"/>
      <c r="CN62" s="39"/>
      <c r="CO62" s="32"/>
      <c r="CP62" s="39"/>
      <c r="CQ62" s="32"/>
      <c r="CR62" s="39"/>
      <c r="CS62" s="32"/>
      <c r="CT62" s="39"/>
      <c r="CU62" s="32"/>
      <c r="CV62" s="39"/>
      <c r="CW62" s="32"/>
      <c r="CX62" s="39"/>
      <c r="CY62" s="32"/>
      <c r="CZ62" s="39"/>
      <c r="DA62" s="32"/>
      <c r="DB62" s="86"/>
      <c r="DC62" s="32"/>
      <c r="DD62" s="36"/>
      <c r="DE62" s="32"/>
      <c r="DF62" s="36"/>
      <c r="DG62" s="32"/>
      <c r="DH62" s="36"/>
      <c r="DI62" s="32"/>
      <c r="DJ62" s="36"/>
      <c r="DK62" s="32"/>
      <c r="DL62" s="36"/>
      <c r="DM62" s="32"/>
      <c r="DN62" s="36"/>
      <c r="DO62" s="32"/>
      <c r="DP62" s="36"/>
      <c r="DQ62" s="32"/>
      <c r="DR62" s="36"/>
      <c r="DS62" s="32"/>
      <c r="DT62" s="36"/>
      <c r="DU62" s="32"/>
      <c r="DV62" s="36"/>
      <c r="DW62" s="32"/>
      <c r="DX62" s="36"/>
      <c r="DY62" s="32"/>
      <c r="DZ62" s="36"/>
      <c r="EA62" s="32"/>
      <c r="EB62" s="36"/>
      <c r="EC62" s="32"/>
      <c r="ED62" s="36"/>
      <c r="EE62" s="32"/>
      <c r="EF62" s="36"/>
      <c r="EG62" s="32"/>
      <c r="EH62" s="36"/>
      <c r="EI62" s="32"/>
      <c r="EJ62" s="36"/>
      <c r="EK62" s="32"/>
      <c r="EL62" s="36"/>
      <c r="EM62" s="32"/>
      <c r="EN62" s="36"/>
      <c r="EO62" s="32"/>
      <c r="EP62" s="36"/>
      <c r="EQ62" s="32"/>
      <c r="ER62" s="36"/>
      <c r="ES62" s="32"/>
      <c r="ET62" s="36"/>
      <c r="EU62" s="32"/>
      <c r="EV62" s="36"/>
      <c r="EW62" s="32"/>
      <c r="EX62" s="36"/>
      <c r="EY62" s="32"/>
      <c r="EZ62" s="36"/>
      <c r="FA62" s="32"/>
      <c r="FB62" s="36"/>
      <c r="FC62" s="32"/>
      <c r="FD62" s="36"/>
      <c r="FE62" s="32"/>
      <c r="FF62" s="36"/>
      <c r="FG62" s="32"/>
      <c r="FH62" s="36"/>
      <c r="FI62" s="32"/>
      <c r="FJ62" s="36"/>
      <c r="FK62" s="32"/>
      <c r="FL62" s="36"/>
      <c r="FM62" s="32"/>
      <c r="FN62" s="36"/>
      <c r="FO62" s="32"/>
      <c r="FP62" s="36"/>
      <c r="FQ62" s="32"/>
      <c r="FR62" s="36"/>
      <c r="FS62" s="32"/>
      <c r="FT62" s="36"/>
      <c r="FU62" s="32"/>
      <c r="FV62" s="36"/>
      <c r="FW62" s="32"/>
      <c r="FX62" s="36"/>
      <c r="FY62" s="32"/>
      <c r="FZ62" s="36"/>
      <c r="GA62" s="32"/>
      <c r="GB62" s="36"/>
      <c r="GC62" s="32"/>
      <c r="GD62" s="36"/>
      <c r="GE62" s="32"/>
      <c r="GF62" s="36"/>
      <c r="GG62" s="32"/>
      <c r="GH62" s="36"/>
      <c r="GI62" s="32"/>
      <c r="GJ62" s="36"/>
      <c r="GK62" s="32"/>
      <c r="GL62" s="36"/>
      <c r="GM62" s="32"/>
      <c r="GN62" s="36"/>
      <c r="GO62" s="32"/>
      <c r="GP62" s="36"/>
      <c r="GQ62" s="32"/>
      <c r="GR62" s="36"/>
      <c r="GS62" s="32"/>
      <c r="GT62" s="36"/>
      <c r="GU62" s="32"/>
    </row>
    <row r="63" spans="1:203">
      <c r="C63" s="29"/>
      <c r="E63" s="29"/>
      <c r="G63" s="29"/>
      <c r="I63" s="29"/>
      <c r="K63" s="29"/>
      <c r="M63" s="29"/>
      <c r="O63" s="29"/>
      <c r="Q63" s="29"/>
      <c r="S63" s="29"/>
      <c r="U63" s="29"/>
      <c r="W63" s="29"/>
      <c r="Y63" s="29"/>
      <c r="AA63" s="29"/>
      <c r="AC63" s="29"/>
      <c r="AE63" s="29"/>
      <c r="AG63" s="29"/>
      <c r="AI63" s="29"/>
      <c r="AK63" s="29"/>
      <c r="AM63" s="29"/>
      <c r="AO63" s="29"/>
      <c r="AQ63" s="29"/>
      <c r="AS63" s="29"/>
      <c r="AU63" s="29"/>
      <c r="AW63" s="29"/>
      <c r="AY63" s="29"/>
      <c r="BA63" s="29"/>
      <c r="BC63" s="29"/>
      <c r="BE63" s="29"/>
      <c r="BG63" s="29"/>
      <c r="BI63" s="29"/>
      <c r="BK63" s="29"/>
      <c r="BM63" s="29"/>
      <c r="BO63" s="29"/>
      <c r="BQ63" s="29"/>
      <c r="BS63" s="29"/>
      <c r="BU63" s="29"/>
      <c r="BW63" s="29"/>
      <c r="BY63" s="29"/>
      <c r="CA63" s="29"/>
      <c r="CC63" s="29"/>
      <c r="CE63" s="29"/>
      <c r="CG63" s="29"/>
      <c r="CI63" s="29"/>
      <c r="CK63" s="29"/>
      <c r="CM63" s="29"/>
      <c r="CO63" s="29"/>
      <c r="CQ63" s="29"/>
      <c r="CS63" s="29"/>
      <c r="CU63" s="29"/>
      <c r="CW63" s="29"/>
      <c r="CY63" s="29"/>
      <c r="DA63" s="29"/>
      <c r="DB63" s="86"/>
    </row>
    <row r="64" spans="1:203">
      <c r="C64" s="29"/>
      <c r="E64" s="29"/>
      <c r="G64" s="29"/>
      <c r="I64" s="29"/>
      <c r="K64" s="29"/>
      <c r="M64" s="29"/>
      <c r="O64" s="29"/>
      <c r="Q64" s="29"/>
      <c r="S64" s="29"/>
      <c r="U64" s="29"/>
      <c r="W64" s="29"/>
      <c r="Y64" s="29"/>
      <c r="AA64" s="29"/>
      <c r="AC64" s="29"/>
      <c r="AE64" s="29"/>
      <c r="AG64" s="29"/>
      <c r="AI64" s="29"/>
      <c r="AK64" s="29"/>
      <c r="AM64" s="29"/>
      <c r="AO64" s="29"/>
      <c r="AQ64" s="29"/>
      <c r="AS64" s="29"/>
      <c r="AU64" s="29"/>
      <c r="AW64" s="29"/>
      <c r="AY64" s="29"/>
      <c r="BA64" s="29"/>
      <c r="BC64" s="29"/>
      <c r="BE64" s="29"/>
      <c r="BG64" s="29"/>
      <c r="BI64" s="29"/>
      <c r="BK64" s="29"/>
      <c r="BM64" s="29"/>
      <c r="BO64" s="29"/>
      <c r="BQ64" s="29"/>
      <c r="BS64" s="29"/>
      <c r="BU64" s="29"/>
      <c r="BW64" s="29"/>
      <c r="BY64" s="29"/>
      <c r="CA64" s="29"/>
      <c r="CC64" s="29"/>
      <c r="CE64" s="29"/>
      <c r="CG64" s="29"/>
      <c r="CI64" s="29"/>
      <c r="CK64" s="29"/>
      <c r="CM64" s="29"/>
      <c r="CO64" s="29"/>
      <c r="CQ64" s="29"/>
      <c r="CS64" s="29"/>
      <c r="CU64" s="29"/>
      <c r="CW64" s="29"/>
      <c r="CY64" s="29"/>
      <c r="DA64" s="29"/>
      <c r="DC64" s="29"/>
      <c r="DD64" s="5"/>
      <c r="DE64" s="29"/>
      <c r="DF64" s="5"/>
      <c r="DG64" s="29"/>
      <c r="DH64" s="5"/>
      <c r="DI64" s="29"/>
      <c r="DJ64" s="5"/>
      <c r="DK64" s="29"/>
      <c r="DL64" s="5"/>
      <c r="DM64" s="29"/>
      <c r="DN64" s="5"/>
      <c r="DO64" s="29"/>
      <c r="DP64" s="5"/>
      <c r="DQ64" s="29"/>
      <c r="DR64" s="5"/>
      <c r="DS64" s="29"/>
      <c r="DT64" s="5"/>
      <c r="DU64" s="29"/>
      <c r="DV64" s="5"/>
      <c r="DW64" s="29"/>
      <c r="DX64" s="5"/>
      <c r="DY64" s="29"/>
      <c r="DZ64" s="5"/>
      <c r="EA64" s="29"/>
      <c r="EB64" s="5"/>
      <c r="EC64" s="29"/>
      <c r="ED64" s="5"/>
      <c r="EE64" s="29"/>
      <c r="EF64" s="5"/>
      <c r="EG64" s="29"/>
      <c r="EH64" s="5"/>
      <c r="EI64" s="29"/>
      <c r="EJ64" s="5"/>
      <c r="EK64" s="29"/>
      <c r="EL64" s="5"/>
      <c r="EM64" s="29"/>
      <c r="EN64" s="5"/>
      <c r="EO64" s="29"/>
      <c r="EP64" s="5"/>
      <c r="EQ64" s="29"/>
      <c r="ER64" s="5"/>
      <c r="ES64" s="29"/>
      <c r="ET64" s="5"/>
      <c r="EU64" s="29"/>
      <c r="EV64" s="5"/>
      <c r="EW64" s="29"/>
      <c r="EX64" s="5"/>
      <c r="EY64" s="29"/>
      <c r="EZ64" s="5"/>
      <c r="FA64" s="29"/>
      <c r="FB64" s="5"/>
      <c r="FC64" s="29"/>
      <c r="FD64" s="5"/>
      <c r="FE64" s="29"/>
      <c r="FF64" s="5"/>
      <c r="FG64" s="29"/>
      <c r="FH64" s="5"/>
      <c r="FI64" s="29"/>
      <c r="FJ64" s="5"/>
      <c r="FK64" s="29"/>
      <c r="FL64" s="5"/>
      <c r="FM64" s="29"/>
      <c r="FN64" s="5"/>
      <c r="FO64" s="29"/>
      <c r="FP64" s="5"/>
      <c r="FQ64" s="29"/>
      <c r="FR64" s="5"/>
      <c r="FS64" s="29"/>
      <c r="FT64" s="5"/>
      <c r="FU64" s="29"/>
      <c r="FV64" s="5"/>
      <c r="FW64" s="29"/>
      <c r="FX64" s="5"/>
      <c r="FY64" s="29"/>
      <c r="FZ64" s="5"/>
      <c r="GA64" s="29"/>
      <c r="GB64" s="5"/>
      <c r="GC64" s="29"/>
      <c r="GD64" s="5"/>
      <c r="GE64" s="29"/>
      <c r="GF64" s="5"/>
      <c r="GG64" s="29"/>
      <c r="GH64" s="5"/>
      <c r="GI64" s="29"/>
      <c r="GJ64" s="5"/>
      <c r="GK64" s="29"/>
      <c r="GL64" s="5"/>
      <c r="GM64" s="29"/>
      <c r="GN64" s="5"/>
      <c r="GO64" s="29"/>
      <c r="GP64" s="5"/>
      <c r="GQ64" s="29"/>
      <c r="GR64" s="5"/>
      <c r="GS64" s="29"/>
      <c r="GT64" s="5"/>
      <c r="GU64" s="29"/>
    </row>
    <row r="65" spans="2:203">
      <c r="C65" s="29"/>
      <c r="E65" s="29"/>
      <c r="G65" s="29"/>
      <c r="I65" s="29"/>
      <c r="K65" s="29"/>
      <c r="M65" s="29"/>
      <c r="O65" s="29"/>
      <c r="Q65" s="29"/>
      <c r="S65" s="29"/>
      <c r="U65" s="29"/>
      <c r="W65" s="29"/>
      <c r="Y65" s="29"/>
      <c r="AA65" s="29"/>
      <c r="AC65" s="29"/>
      <c r="AE65" s="29"/>
      <c r="AG65" s="29"/>
      <c r="AI65" s="29"/>
      <c r="AK65" s="29"/>
      <c r="AM65" s="29"/>
      <c r="AO65" s="29"/>
      <c r="AQ65" s="29"/>
      <c r="AS65" s="29"/>
      <c r="AU65" s="29"/>
      <c r="AW65" s="29"/>
      <c r="AY65" s="29"/>
      <c r="BA65" s="29"/>
      <c r="BC65" s="29"/>
      <c r="BE65" s="29"/>
      <c r="BG65" s="29"/>
      <c r="BI65" s="29"/>
      <c r="BK65" s="29"/>
      <c r="BM65" s="29"/>
      <c r="BO65" s="29"/>
      <c r="BQ65" s="29"/>
      <c r="BS65" s="29"/>
      <c r="BU65" s="29"/>
      <c r="BW65" s="29"/>
      <c r="BY65" s="29"/>
      <c r="CA65" s="29"/>
      <c r="CC65" s="29"/>
      <c r="CE65" s="29"/>
      <c r="CG65" s="29"/>
      <c r="CI65" s="29"/>
      <c r="CK65" s="29"/>
      <c r="CM65" s="29"/>
      <c r="CO65" s="29"/>
      <c r="CQ65" s="29"/>
      <c r="CS65" s="29"/>
      <c r="CU65" s="29"/>
      <c r="CW65" s="29"/>
      <c r="CY65" s="29"/>
      <c r="DA65" s="29"/>
    </row>
    <row r="66" spans="2:203" ht="13">
      <c r="B66" s="39"/>
      <c r="C66" s="32"/>
      <c r="D66" s="39"/>
      <c r="E66" s="32"/>
      <c r="F66" s="39"/>
      <c r="G66" s="32"/>
      <c r="H66" s="39"/>
      <c r="I66" s="32"/>
      <c r="J66" s="39"/>
      <c r="K66" s="32"/>
      <c r="L66" s="39"/>
      <c r="M66" s="32"/>
      <c r="N66" s="39"/>
      <c r="O66" s="32"/>
      <c r="P66" s="39"/>
      <c r="Q66" s="32"/>
      <c r="R66" s="39"/>
      <c r="S66" s="32"/>
      <c r="T66" s="39"/>
      <c r="U66" s="32"/>
      <c r="V66" s="39"/>
      <c r="W66" s="32"/>
      <c r="X66" s="39"/>
      <c r="Y66" s="32"/>
      <c r="Z66" s="39"/>
      <c r="AA66" s="32"/>
      <c r="AB66" s="39"/>
      <c r="AC66" s="32"/>
      <c r="AD66" s="39"/>
      <c r="AE66" s="32"/>
      <c r="AF66" s="39"/>
      <c r="AG66" s="32"/>
      <c r="AH66" s="39"/>
      <c r="AI66" s="32"/>
      <c r="AJ66" s="39"/>
      <c r="AK66" s="32"/>
      <c r="AL66" s="39"/>
      <c r="AM66" s="32"/>
      <c r="AN66" s="39"/>
      <c r="AO66" s="32"/>
      <c r="AP66" s="39"/>
      <c r="AQ66" s="32"/>
      <c r="AR66" s="39"/>
      <c r="AS66" s="32"/>
      <c r="AT66" s="39"/>
      <c r="AU66" s="32"/>
      <c r="AV66" s="39"/>
      <c r="AW66" s="32"/>
      <c r="AX66" s="39"/>
      <c r="AY66" s="32"/>
      <c r="AZ66" s="39"/>
      <c r="BA66" s="32"/>
      <c r="BB66" s="39"/>
      <c r="BC66" s="32"/>
      <c r="BD66" s="39"/>
      <c r="BE66" s="32"/>
      <c r="BF66" s="39"/>
      <c r="BG66" s="32"/>
      <c r="BH66" s="39"/>
      <c r="BI66" s="32"/>
      <c r="BJ66" s="39"/>
      <c r="BK66" s="32"/>
      <c r="BL66" s="39"/>
      <c r="BM66" s="32"/>
      <c r="BN66" s="39"/>
      <c r="BO66" s="32"/>
      <c r="BP66" s="39"/>
      <c r="BQ66" s="32"/>
      <c r="BR66" s="39"/>
      <c r="BS66" s="32"/>
      <c r="BT66" s="39"/>
      <c r="BU66" s="32"/>
      <c r="BV66" s="39"/>
      <c r="BW66" s="32"/>
      <c r="BX66" s="39"/>
      <c r="BY66" s="32"/>
      <c r="BZ66" s="39"/>
      <c r="CA66" s="32"/>
      <c r="CB66" s="39"/>
      <c r="CC66" s="32"/>
      <c r="CD66" s="39"/>
      <c r="CE66" s="32"/>
      <c r="CF66" s="39"/>
      <c r="CG66" s="32"/>
      <c r="CH66" s="39"/>
      <c r="CI66" s="32"/>
      <c r="CJ66" s="39"/>
      <c r="CK66" s="32"/>
      <c r="CL66" s="39"/>
      <c r="CM66" s="32"/>
      <c r="CN66" s="39"/>
      <c r="CO66" s="32"/>
      <c r="CP66" s="39"/>
      <c r="CQ66" s="32"/>
      <c r="CR66" s="39"/>
      <c r="CS66" s="32"/>
      <c r="CT66" s="39"/>
      <c r="CU66" s="32"/>
      <c r="CV66" s="39"/>
      <c r="CW66" s="32"/>
      <c r="CX66" s="39"/>
      <c r="CY66" s="32"/>
      <c r="CZ66" s="39"/>
      <c r="DA66" s="32"/>
      <c r="DC66" s="32"/>
      <c r="DD66" s="36"/>
      <c r="DE66" s="32"/>
      <c r="DF66" s="36"/>
      <c r="DG66" s="32"/>
      <c r="DH66" s="36"/>
      <c r="DI66" s="32"/>
      <c r="DJ66" s="36"/>
      <c r="DK66" s="32"/>
      <c r="DL66" s="36"/>
      <c r="DM66" s="32"/>
      <c r="DN66" s="36"/>
      <c r="DO66" s="32"/>
      <c r="DP66" s="36"/>
      <c r="DQ66" s="32"/>
      <c r="DR66" s="36"/>
      <c r="DS66" s="32"/>
      <c r="DT66" s="36"/>
      <c r="DU66" s="32"/>
      <c r="DV66" s="36"/>
      <c r="DW66" s="32"/>
      <c r="DX66" s="36"/>
      <c r="DY66" s="32"/>
      <c r="DZ66" s="36"/>
      <c r="EA66" s="32"/>
      <c r="EB66" s="36"/>
      <c r="EC66" s="32"/>
      <c r="ED66" s="36"/>
      <c r="EE66" s="32"/>
      <c r="EF66" s="36"/>
      <c r="EG66" s="32"/>
      <c r="EH66" s="36"/>
      <c r="EI66" s="32"/>
      <c r="EJ66" s="36"/>
      <c r="EK66" s="32"/>
      <c r="EL66" s="36"/>
      <c r="EM66" s="32"/>
      <c r="EN66" s="36"/>
      <c r="EO66" s="32"/>
      <c r="EP66" s="36"/>
      <c r="EQ66" s="32"/>
      <c r="ER66" s="36"/>
      <c r="ES66" s="32"/>
      <c r="ET66" s="36"/>
      <c r="EU66" s="32"/>
      <c r="EV66" s="36"/>
      <c r="EW66" s="32"/>
      <c r="EX66" s="36"/>
      <c r="EY66" s="32"/>
      <c r="EZ66" s="36"/>
      <c r="FA66" s="32"/>
      <c r="FB66" s="36"/>
      <c r="FC66" s="32"/>
      <c r="FD66" s="36"/>
      <c r="FE66" s="32"/>
      <c r="FF66" s="36"/>
      <c r="FG66" s="32"/>
      <c r="FH66" s="36"/>
      <c r="FI66" s="32"/>
      <c r="FJ66" s="36"/>
      <c r="FK66" s="32"/>
      <c r="FL66" s="36"/>
      <c r="FM66" s="32"/>
      <c r="FN66" s="36"/>
      <c r="FO66" s="32"/>
      <c r="FP66" s="36"/>
      <c r="FQ66" s="32"/>
      <c r="FR66" s="36"/>
      <c r="FS66" s="32"/>
      <c r="FT66" s="36"/>
      <c r="FU66" s="32"/>
      <c r="FV66" s="36"/>
      <c r="FW66" s="32"/>
      <c r="FX66" s="36"/>
      <c r="FY66" s="32"/>
      <c r="FZ66" s="36"/>
      <c r="GA66" s="32"/>
      <c r="GB66" s="36"/>
      <c r="GC66" s="32"/>
      <c r="GD66" s="36"/>
      <c r="GE66" s="32"/>
      <c r="GF66" s="36"/>
      <c r="GG66" s="32"/>
      <c r="GH66" s="36"/>
      <c r="GI66" s="32"/>
      <c r="GJ66" s="36"/>
      <c r="GK66" s="32"/>
      <c r="GL66" s="36"/>
      <c r="GM66" s="32"/>
      <c r="GN66" s="36"/>
      <c r="GO66" s="32"/>
      <c r="GP66" s="36"/>
      <c r="GQ66" s="32"/>
      <c r="GR66" s="36"/>
      <c r="GS66" s="32"/>
      <c r="GT66" s="36"/>
      <c r="GU66" s="32"/>
    </row>
    <row r="68" spans="2:203">
      <c r="C68" s="29"/>
      <c r="E68" s="29"/>
      <c r="G68" s="29"/>
      <c r="I68" s="29"/>
      <c r="K68" s="29"/>
      <c r="M68" s="29"/>
      <c r="O68" s="29"/>
      <c r="Q68" s="29"/>
      <c r="S68" s="29"/>
      <c r="U68" s="29"/>
      <c r="W68" s="29"/>
      <c r="Y68" s="29"/>
      <c r="AA68" s="29"/>
      <c r="AC68" s="29"/>
      <c r="AE68" s="29"/>
      <c r="AG68" s="29"/>
      <c r="AI68" s="29"/>
      <c r="AK68" s="29"/>
      <c r="AM68" s="29"/>
      <c r="AO68" s="29"/>
      <c r="AQ68" s="29"/>
      <c r="AS68" s="29"/>
      <c r="AU68" s="29"/>
      <c r="AW68" s="29"/>
      <c r="AY68" s="29"/>
      <c r="BA68" s="29"/>
      <c r="BC68" s="29"/>
      <c r="BE68" s="29"/>
      <c r="BG68" s="29"/>
      <c r="BI68" s="29"/>
      <c r="BK68" s="29"/>
      <c r="BM68" s="29"/>
      <c r="BO68" s="29"/>
      <c r="BQ68" s="29"/>
      <c r="BS68" s="29"/>
      <c r="BU68" s="29"/>
      <c r="BW68" s="29"/>
      <c r="BY68" s="29"/>
      <c r="CA68" s="29"/>
      <c r="CC68" s="29"/>
      <c r="CE68" s="29"/>
      <c r="CG68" s="29"/>
      <c r="CI68" s="29"/>
      <c r="CK68" s="29"/>
      <c r="CM68" s="29"/>
      <c r="CO68" s="29"/>
      <c r="CQ68" s="29"/>
      <c r="CS68" s="29"/>
      <c r="CU68" s="29"/>
      <c r="CW68" s="29"/>
      <c r="CY68" s="29"/>
      <c r="DA68" s="29"/>
      <c r="DC68" s="29"/>
      <c r="DD68" s="29"/>
      <c r="DE68" s="29"/>
      <c r="DF68" s="29"/>
      <c r="DG68" s="29"/>
      <c r="DH68" s="29"/>
      <c r="DI68" s="29"/>
      <c r="DJ68" s="29"/>
      <c r="DK68" s="29"/>
      <c r="DL68" s="29"/>
      <c r="DM68" s="29"/>
      <c r="DN68" s="29"/>
      <c r="DO68" s="29"/>
      <c r="DP68" s="29"/>
      <c r="DQ68" s="29"/>
      <c r="DR68" s="29"/>
      <c r="DS68" s="29"/>
      <c r="DT68" s="29"/>
      <c r="DU68" s="29"/>
      <c r="DV68" s="29"/>
      <c r="DW68" s="29"/>
      <c r="DX68" s="29"/>
      <c r="DY68" s="29"/>
      <c r="DZ68" s="29"/>
      <c r="EA68" s="29"/>
      <c r="EB68" s="29"/>
      <c r="EC68" s="29"/>
      <c r="ED68" s="29"/>
      <c r="EE68" s="29"/>
      <c r="EF68" s="29"/>
      <c r="EG68" s="29"/>
      <c r="EH68" s="29"/>
      <c r="EI68" s="29"/>
      <c r="EJ68" s="29"/>
      <c r="EK68" s="29"/>
      <c r="EL68" s="29"/>
      <c r="EM68" s="29"/>
      <c r="EN68" s="29"/>
      <c r="EO68" s="29"/>
      <c r="EP68" s="29"/>
      <c r="EQ68" s="29"/>
      <c r="ER68" s="29"/>
      <c r="ES68" s="29"/>
      <c r="ET68" s="29"/>
      <c r="EU68" s="29"/>
      <c r="EV68" s="29"/>
      <c r="EW68" s="29"/>
      <c r="EX68" s="29"/>
      <c r="EY68" s="29"/>
      <c r="EZ68" s="29"/>
      <c r="FA68" s="29"/>
      <c r="FB68" s="29"/>
      <c r="FC68" s="29"/>
      <c r="FD68" s="29"/>
      <c r="FE68" s="29"/>
      <c r="FF68" s="29"/>
      <c r="FG68" s="29"/>
      <c r="FH68" s="29"/>
      <c r="FI68" s="29"/>
      <c r="FJ68" s="29"/>
      <c r="FK68" s="29"/>
      <c r="FL68" s="29"/>
      <c r="FM68" s="29"/>
      <c r="FN68" s="29"/>
      <c r="FO68" s="29"/>
      <c r="FP68" s="29"/>
      <c r="FQ68" s="29"/>
      <c r="FR68" s="29"/>
      <c r="FS68" s="29"/>
      <c r="FT68" s="29"/>
      <c r="FU68" s="29"/>
      <c r="FV68" s="29"/>
      <c r="FW68" s="29"/>
      <c r="FX68" s="29"/>
      <c r="FY68" s="29"/>
      <c r="FZ68" s="29"/>
      <c r="GA68" s="29"/>
      <c r="GB68" s="29"/>
      <c r="GC68" s="29"/>
      <c r="GD68" s="29"/>
      <c r="GE68" s="29"/>
      <c r="GF68" s="29"/>
      <c r="GG68" s="29"/>
      <c r="GH68" s="29"/>
      <c r="GI68" s="29"/>
      <c r="GJ68" s="29"/>
      <c r="GK68" s="29"/>
      <c r="GL68" s="29"/>
      <c r="GM68" s="29"/>
      <c r="GN68" s="29"/>
      <c r="GO68" s="29"/>
      <c r="GP68" s="29"/>
      <c r="GQ68" s="29"/>
      <c r="GR68" s="29"/>
      <c r="GS68" s="29"/>
      <c r="GT68" s="29"/>
      <c r="GU68" s="29"/>
    </row>
    <row r="69" spans="2:203">
      <c r="GQ69" s="40"/>
    </row>
    <row r="70" spans="2:203">
      <c r="E70" s="29"/>
      <c r="G70" s="29"/>
      <c r="I70" s="29"/>
      <c r="M70" s="29"/>
      <c r="O70" s="29"/>
      <c r="Q70" s="29"/>
      <c r="U70" s="29"/>
      <c r="W70" s="29"/>
      <c r="Y70" s="29"/>
      <c r="AC70" s="29"/>
      <c r="AE70" s="29"/>
      <c r="AG70" s="29"/>
      <c r="AK70" s="29"/>
      <c r="AM70" s="29"/>
      <c r="AO70" s="29"/>
      <c r="AS70" s="29"/>
      <c r="AU70" s="29"/>
      <c r="AW70" s="29"/>
      <c r="BA70" s="29"/>
      <c r="BC70" s="29"/>
      <c r="BE70" s="29"/>
      <c r="BI70" s="29"/>
      <c r="BK70" s="29"/>
      <c r="BM70" s="29"/>
      <c r="BQ70" s="29"/>
      <c r="BS70" s="29"/>
      <c r="BW70" s="29"/>
      <c r="BY70" s="29"/>
      <c r="CA70" s="29"/>
      <c r="CE70" s="29"/>
      <c r="CG70" s="29"/>
      <c r="CI70" s="29"/>
      <c r="CQ70" s="29"/>
    </row>
    <row r="72" spans="2:203" ht="13" thickBot="1"/>
    <row r="73" spans="2:203" ht="13" thickBot="1">
      <c r="DB73" s="80"/>
    </row>
  </sheetData>
  <mergeCells count="1">
    <mergeCell ref="A1:A2"/>
  </mergeCell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7030A0"/>
  </sheetPr>
  <dimension ref="A1:GU90"/>
  <sheetViews>
    <sheetView zoomScale="115" zoomScaleNormal="115" workbookViewId="0">
      <pane xSplit="1" ySplit="2" topLeftCell="B3" activePane="bottomRight" state="frozenSplit"/>
      <selection pane="topRight" activeCell="B1" sqref="B1"/>
      <selection pane="bottomLeft" activeCell="A3" sqref="A3"/>
      <selection pane="bottomRight" sqref="A1:A2"/>
    </sheetView>
  </sheetViews>
  <sheetFormatPr defaultRowHeight="12.5"/>
  <cols>
    <col min="1" max="1" width="48" style="97" customWidth="1"/>
    <col min="2" max="2" width="1.7265625" customWidth="1"/>
    <col min="3" max="3" width="15" customWidth="1"/>
    <col min="4" max="4" width="1.7265625" customWidth="1"/>
    <col min="5" max="5" width="12.1796875" customWidth="1"/>
    <col min="6" max="6" width="1.7265625" customWidth="1"/>
    <col min="7" max="7" width="12.7265625" customWidth="1"/>
    <col min="8" max="8" width="1.7265625" customWidth="1"/>
    <col min="9" max="9" width="12.1796875" customWidth="1"/>
    <col min="10" max="10" width="1.7265625" customWidth="1"/>
    <col min="11" max="11" width="15" customWidth="1"/>
    <col min="12" max="12" width="1.7265625" customWidth="1"/>
    <col min="13" max="13" width="12.1796875" customWidth="1"/>
    <col min="14" max="14" width="1.7265625" customWidth="1"/>
    <col min="15" max="15" width="12.7265625" customWidth="1"/>
    <col min="16" max="16" width="1.7265625" customWidth="1"/>
    <col min="17" max="17" width="12.1796875" customWidth="1"/>
    <col min="18" max="18" width="1.7265625" customWidth="1"/>
    <col min="19" max="19" width="15" customWidth="1"/>
    <col min="20" max="20" width="1.7265625" customWidth="1"/>
    <col min="21" max="21" width="12.1796875" customWidth="1"/>
    <col min="22" max="22" width="1.7265625" customWidth="1"/>
    <col min="23" max="23" width="12.7265625" customWidth="1"/>
    <col min="24" max="24" width="1.7265625" customWidth="1"/>
    <col min="25" max="25" width="12.1796875" customWidth="1"/>
    <col min="26" max="26" width="1.7265625" customWidth="1"/>
    <col min="27" max="27" width="15" customWidth="1"/>
    <col min="28" max="28" width="1.7265625" customWidth="1"/>
    <col min="29" max="29" width="12.1796875" customWidth="1"/>
    <col min="30" max="30" width="1.7265625" customWidth="1"/>
    <col min="31" max="31" width="12.7265625" customWidth="1"/>
    <col min="32" max="32" width="1.7265625" customWidth="1"/>
    <col min="33" max="33" width="12.1796875" customWidth="1"/>
    <col min="34" max="34" width="1.7265625" customWidth="1"/>
    <col min="35" max="35" width="15" customWidth="1"/>
    <col min="36" max="36" width="1.7265625" customWidth="1"/>
    <col min="37" max="37" width="12.1796875" customWidth="1"/>
    <col min="38" max="38" width="1.7265625" customWidth="1"/>
    <col min="39" max="39" width="11.26953125" bestFit="1" customWidth="1"/>
    <col min="40" max="40" width="1.7265625" customWidth="1"/>
    <col min="41" max="41" width="11.26953125" bestFit="1" customWidth="1"/>
    <col min="42" max="42" width="1.7265625" customWidth="1"/>
    <col min="43" max="43" width="15" customWidth="1"/>
    <col min="44" max="44" width="1.7265625" customWidth="1"/>
    <col min="45" max="45" width="12.1796875" customWidth="1"/>
    <col min="46" max="46" width="1.7265625" customWidth="1"/>
    <col min="47" max="47" width="11.26953125" bestFit="1" customWidth="1"/>
    <col min="48" max="48" width="1.7265625" customWidth="1"/>
    <col min="49" max="49" width="11.26953125" bestFit="1" customWidth="1"/>
    <col min="50" max="50" width="1.7265625" customWidth="1"/>
    <col min="51" max="51" width="15" customWidth="1"/>
    <col min="52" max="52" width="1.7265625" customWidth="1"/>
    <col min="53" max="53" width="12.1796875" customWidth="1"/>
    <col min="54" max="54" width="1.7265625" customWidth="1"/>
    <col min="55" max="55" width="11.26953125" bestFit="1" customWidth="1"/>
    <col min="56" max="56" width="1.7265625" customWidth="1"/>
    <col min="57" max="57" width="11.26953125" bestFit="1" customWidth="1"/>
    <col min="58" max="58" width="1.7265625" customWidth="1"/>
    <col min="59" max="59" width="15" customWidth="1"/>
    <col min="60" max="60" width="1.7265625" customWidth="1"/>
    <col min="61" max="61" width="12.1796875" customWidth="1"/>
    <col min="62" max="62" width="1.7265625" customWidth="1"/>
    <col min="63" max="63" width="11.26953125" bestFit="1" customWidth="1"/>
    <col min="64" max="64" width="1.7265625" customWidth="1"/>
    <col min="65" max="65" width="11.26953125" bestFit="1" customWidth="1"/>
    <col min="66" max="66" width="1.7265625" customWidth="1"/>
    <col min="67" max="67" width="11.26953125" bestFit="1" customWidth="1"/>
    <col min="68" max="68" width="1.7265625" customWidth="1"/>
    <col min="69" max="69" width="11.26953125" bestFit="1" customWidth="1"/>
    <col min="70" max="70" width="1.7265625" customWidth="1"/>
    <col min="71" max="71" width="11.26953125" bestFit="1" customWidth="1"/>
    <col min="72" max="72" width="1.7265625" customWidth="1"/>
    <col min="73" max="73" width="11.26953125" bestFit="1" customWidth="1"/>
    <col min="74" max="74" width="1.7265625" customWidth="1"/>
    <col min="75" max="75" width="11.26953125" bestFit="1" customWidth="1"/>
    <col min="76" max="76" width="1.7265625" customWidth="1"/>
    <col min="77" max="77" width="11.26953125" bestFit="1" customWidth="1"/>
    <col min="78" max="78" width="1.7265625" customWidth="1"/>
    <col min="79" max="79" width="11.26953125" bestFit="1" customWidth="1"/>
    <col min="80" max="80" width="1.7265625" customWidth="1"/>
    <col min="81" max="81" width="11.26953125" bestFit="1" customWidth="1"/>
    <col min="82" max="82" width="1.7265625" customWidth="1"/>
    <col min="83" max="83" width="11.26953125" bestFit="1" customWidth="1"/>
    <col min="84" max="84" width="1.7265625" customWidth="1"/>
    <col min="85" max="85" width="11.26953125" bestFit="1" customWidth="1"/>
    <col min="86" max="86" width="1.7265625" customWidth="1"/>
    <col min="87" max="87" width="11.26953125" bestFit="1" customWidth="1"/>
    <col min="88" max="88" width="1.7265625" customWidth="1"/>
    <col min="89" max="89" width="11.26953125" bestFit="1" customWidth="1"/>
    <col min="90" max="90" width="1.7265625" customWidth="1"/>
    <col min="91" max="91" width="11.26953125" bestFit="1" customWidth="1"/>
    <col min="92" max="92" width="1.7265625" customWidth="1"/>
    <col min="93" max="93" width="11.26953125" bestFit="1" customWidth="1"/>
    <col min="94" max="94" width="1.54296875" customWidth="1"/>
    <col min="95" max="95" width="11.26953125" bestFit="1" customWidth="1"/>
    <col min="96" max="96" width="0.81640625" customWidth="1"/>
    <col min="97" max="97" width="11.26953125" bestFit="1" customWidth="1"/>
    <col min="98" max="98" width="1.54296875" customWidth="1"/>
    <col min="99" max="99" width="11.26953125" bestFit="1" customWidth="1"/>
    <col min="100" max="100" width="1.7265625" customWidth="1"/>
    <col min="101" max="101" width="11.26953125" bestFit="1" customWidth="1"/>
    <col min="102" max="102" width="1.7265625" customWidth="1"/>
    <col min="103" max="103" width="11.26953125" bestFit="1" customWidth="1"/>
    <col min="104" max="104" width="1.7265625" customWidth="1"/>
    <col min="105" max="105" width="11.26953125" bestFit="1" customWidth="1"/>
    <col min="106" max="106" width="2.54296875" style="93" customWidth="1"/>
    <col min="107" max="107" width="12.7265625" bestFit="1" customWidth="1"/>
    <col min="108" max="108" width="1" customWidth="1"/>
    <col min="109" max="109" width="12.7265625" bestFit="1" customWidth="1"/>
    <col min="110" max="110" width="1" customWidth="1"/>
    <col min="111" max="111" width="12.7265625" bestFit="1" customWidth="1"/>
    <col min="112" max="112" width="1" customWidth="1"/>
    <col min="113" max="113" width="12.7265625" bestFit="1" customWidth="1"/>
    <col min="114" max="114" width="1" customWidth="1"/>
    <col min="115" max="115" width="12.7265625" bestFit="1" customWidth="1"/>
    <col min="116" max="116" width="1" customWidth="1"/>
    <col min="117" max="117" width="12.7265625" bestFit="1" customWidth="1"/>
    <col min="118" max="118" width="1" customWidth="1"/>
    <col min="119" max="119" width="12.7265625" bestFit="1" customWidth="1"/>
    <col min="120" max="120" width="1" customWidth="1"/>
    <col min="121" max="121" width="12.7265625" bestFit="1" customWidth="1"/>
    <col min="122" max="122" width="1" customWidth="1"/>
    <col min="123" max="123" width="12.7265625" bestFit="1" customWidth="1"/>
    <col min="124" max="124" width="1" customWidth="1"/>
    <col min="125" max="125" width="12.7265625" bestFit="1" customWidth="1"/>
    <col min="126" max="126" width="1" customWidth="1"/>
    <col min="127" max="127" width="12.7265625" bestFit="1" customWidth="1"/>
    <col min="128" max="128" width="1" customWidth="1"/>
    <col min="129" max="129" width="12.7265625" bestFit="1" customWidth="1"/>
    <col min="130" max="130" width="1" customWidth="1"/>
    <col min="131" max="131" width="12.7265625" bestFit="1" customWidth="1"/>
    <col min="132" max="132" width="1" customWidth="1"/>
    <col min="133" max="133" width="12.7265625" bestFit="1" customWidth="1"/>
    <col min="134" max="134" width="1" customWidth="1"/>
    <col min="135" max="135" width="12.7265625" bestFit="1" customWidth="1"/>
    <col min="136" max="136" width="1" customWidth="1"/>
    <col min="137" max="137" width="12.7265625" bestFit="1" customWidth="1"/>
    <col min="138" max="138" width="1" customWidth="1"/>
    <col min="139" max="139" width="12.7265625" bestFit="1" customWidth="1"/>
    <col min="140" max="140" width="1" customWidth="1"/>
    <col min="141" max="141" width="12.7265625" bestFit="1" customWidth="1"/>
    <col min="142" max="142" width="1" customWidth="1"/>
    <col min="143" max="143" width="12.7265625" bestFit="1" customWidth="1"/>
    <col min="144" max="144" width="1" customWidth="1"/>
    <col min="145" max="145" width="12.7265625" bestFit="1" customWidth="1"/>
    <col min="146" max="146" width="1" customWidth="1"/>
    <col min="147" max="147" width="12.7265625" bestFit="1" customWidth="1"/>
    <col min="148" max="148" width="1" customWidth="1"/>
    <col min="149" max="149" width="12.7265625" bestFit="1" customWidth="1"/>
    <col min="150" max="150" width="1" customWidth="1"/>
    <col min="151" max="151" width="12.7265625" bestFit="1" customWidth="1"/>
    <col min="152" max="152" width="1" customWidth="1"/>
    <col min="153" max="153" width="12.7265625" bestFit="1" customWidth="1"/>
    <col min="154" max="154" width="1" customWidth="1"/>
    <col min="155" max="155" width="12.7265625" bestFit="1" customWidth="1"/>
    <col min="156" max="156" width="1" customWidth="1"/>
    <col min="157" max="157" width="12.7265625" bestFit="1" customWidth="1"/>
    <col min="158" max="158" width="1" customWidth="1"/>
    <col min="159" max="159" width="12.7265625" bestFit="1" customWidth="1"/>
    <col min="160" max="160" width="1" customWidth="1"/>
    <col min="161" max="161" width="12.7265625" bestFit="1" customWidth="1"/>
    <col min="162" max="162" width="1" customWidth="1"/>
    <col min="163" max="163" width="12.7265625" bestFit="1" customWidth="1"/>
    <col min="164" max="164" width="1" customWidth="1"/>
    <col min="165" max="165" width="12.7265625" bestFit="1" customWidth="1"/>
    <col min="166" max="166" width="1" customWidth="1"/>
    <col min="167" max="167" width="12.7265625" bestFit="1" customWidth="1"/>
    <col min="168" max="168" width="1" customWidth="1"/>
    <col min="169" max="169" width="12.7265625" bestFit="1" customWidth="1"/>
    <col min="170" max="170" width="1" customWidth="1"/>
    <col min="171" max="171" width="12.7265625" bestFit="1" customWidth="1"/>
    <col min="172" max="172" width="1" customWidth="1"/>
    <col min="173" max="173" width="12.7265625" bestFit="1" customWidth="1"/>
    <col min="174" max="174" width="1" customWidth="1"/>
    <col min="175" max="175" width="12.7265625" bestFit="1" customWidth="1"/>
    <col min="176" max="176" width="1" customWidth="1"/>
    <col min="177" max="177" width="12.7265625" bestFit="1" customWidth="1"/>
    <col min="178" max="178" width="1" customWidth="1"/>
    <col min="179" max="179" width="12.7265625" bestFit="1" customWidth="1"/>
    <col min="180" max="180" width="1" customWidth="1"/>
    <col min="181" max="181" width="12.7265625" bestFit="1" customWidth="1"/>
    <col min="182" max="182" width="1" customWidth="1"/>
    <col min="183" max="183" width="12.7265625" bestFit="1" customWidth="1"/>
    <col min="184" max="184" width="1" customWidth="1"/>
    <col min="185" max="185" width="12.7265625" bestFit="1" customWidth="1"/>
    <col min="186" max="186" width="1" customWidth="1"/>
    <col min="187" max="187" width="12.7265625" bestFit="1" customWidth="1"/>
    <col min="188" max="188" width="1" customWidth="1"/>
    <col min="189" max="189" width="12.7265625" bestFit="1" customWidth="1"/>
    <col min="190" max="190" width="1" customWidth="1"/>
    <col min="191" max="191" width="12.7265625" bestFit="1" customWidth="1"/>
    <col min="192" max="192" width="1" customWidth="1"/>
    <col min="193" max="193" width="12.7265625" bestFit="1" customWidth="1"/>
    <col min="194" max="194" width="1" customWidth="1"/>
    <col min="195" max="195" width="12.7265625" bestFit="1" customWidth="1"/>
    <col min="196" max="196" width="1" customWidth="1"/>
    <col min="197" max="197" width="12.7265625" bestFit="1" customWidth="1"/>
    <col min="198" max="198" width="1.1796875" customWidth="1"/>
    <col min="199" max="199" width="12.7265625" bestFit="1" customWidth="1"/>
    <col min="200" max="200" width="1.54296875" customWidth="1"/>
    <col min="201" max="201" width="12.7265625" bestFit="1" customWidth="1"/>
    <col min="202" max="202" width="1.54296875" customWidth="1"/>
    <col min="203" max="203" width="12.7265625" bestFit="1" customWidth="1"/>
  </cols>
  <sheetData>
    <row r="1" spans="1:203" s="2" customFormat="1" ht="10">
      <c r="A1" s="203" t="s">
        <v>293</v>
      </c>
      <c r="B1" s="82"/>
      <c r="C1" s="189">
        <v>45930</v>
      </c>
      <c r="D1" s="190"/>
      <c r="E1" s="191">
        <v>45838</v>
      </c>
      <c r="F1" s="190"/>
      <c r="G1" s="191">
        <v>45747</v>
      </c>
      <c r="H1" s="190"/>
      <c r="I1" s="191">
        <v>45657</v>
      </c>
      <c r="J1" s="82"/>
      <c r="K1" s="189">
        <v>45565</v>
      </c>
      <c r="L1" s="190"/>
      <c r="M1" s="191">
        <v>45473</v>
      </c>
      <c r="N1" s="190"/>
      <c r="O1" s="191">
        <v>45382</v>
      </c>
      <c r="P1" s="190"/>
      <c r="Q1" s="191">
        <v>45291</v>
      </c>
      <c r="R1" s="82"/>
      <c r="S1" s="189">
        <v>45199</v>
      </c>
      <c r="T1" s="190"/>
      <c r="U1" s="191">
        <v>45107</v>
      </c>
      <c r="V1" s="190"/>
      <c r="W1" s="191">
        <v>45016</v>
      </c>
      <c r="X1" s="190"/>
      <c r="Y1" s="191">
        <v>44926</v>
      </c>
      <c r="Z1" s="82"/>
      <c r="AA1" s="189">
        <v>44834</v>
      </c>
      <c r="AB1" s="190"/>
      <c r="AC1" s="191">
        <v>44742</v>
      </c>
      <c r="AD1" s="190"/>
      <c r="AE1" s="191">
        <v>44651</v>
      </c>
      <c r="AF1" s="190"/>
      <c r="AG1" s="191">
        <v>44561</v>
      </c>
      <c r="AH1" s="190"/>
      <c r="AI1" s="83" t="s">
        <v>279</v>
      </c>
      <c r="AJ1" s="82"/>
      <c r="AK1" s="81" t="s">
        <v>280</v>
      </c>
      <c r="AL1" s="82"/>
      <c r="AM1" s="81" t="s">
        <v>281</v>
      </c>
      <c r="AN1" s="82"/>
      <c r="AO1" s="81" t="s">
        <v>282</v>
      </c>
      <c r="AP1" s="82"/>
      <c r="AQ1" s="83" t="s">
        <v>272</v>
      </c>
      <c r="AR1" s="82"/>
      <c r="AS1" s="81" t="s">
        <v>271</v>
      </c>
      <c r="AT1" s="82"/>
      <c r="AU1" s="81" t="s">
        <v>270</v>
      </c>
      <c r="AV1" s="82"/>
      <c r="AW1" s="81" t="s">
        <v>269</v>
      </c>
      <c r="AX1" s="82"/>
      <c r="AY1" s="83" t="s">
        <v>256</v>
      </c>
      <c r="AZ1" s="82"/>
      <c r="BA1" s="81" t="s">
        <v>255</v>
      </c>
      <c r="BB1" s="82"/>
      <c r="BC1" s="81" t="s">
        <v>253</v>
      </c>
      <c r="BD1" s="82"/>
      <c r="BE1" s="81" t="s">
        <v>254</v>
      </c>
      <c r="BF1" s="82"/>
      <c r="BG1" s="83" t="s">
        <v>234</v>
      </c>
      <c r="BH1" s="82"/>
      <c r="BI1" s="81" t="s">
        <v>235</v>
      </c>
      <c r="BJ1" s="82"/>
      <c r="BK1" s="81" t="s">
        <v>236</v>
      </c>
      <c r="BL1" s="82"/>
      <c r="BM1" s="81" t="s">
        <v>233</v>
      </c>
      <c r="BN1" s="82"/>
      <c r="BO1" s="81" t="s">
        <v>232</v>
      </c>
      <c r="BP1" s="82"/>
      <c r="BQ1" s="81" t="s">
        <v>231</v>
      </c>
      <c r="BR1" s="82"/>
      <c r="BS1" s="81" t="s">
        <v>230</v>
      </c>
      <c r="BT1" s="82"/>
      <c r="BU1" s="83" t="s">
        <v>217</v>
      </c>
      <c r="BV1" s="82"/>
      <c r="BW1" s="81" t="s">
        <v>218</v>
      </c>
      <c r="BX1" s="82"/>
      <c r="BY1" s="81" t="s">
        <v>219</v>
      </c>
      <c r="BZ1" s="82"/>
      <c r="CA1" s="81" t="s">
        <v>220</v>
      </c>
      <c r="CB1" s="82"/>
      <c r="CC1" s="83" t="s">
        <v>212</v>
      </c>
      <c r="CD1" s="82"/>
      <c r="CE1" s="81" t="s">
        <v>187</v>
      </c>
      <c r="CF1" s="82"/>
      <c r="CG1" s="81" t="s">
        <v>182</v>
      </c>
      <c r="CH1" s="82"/>
      <c r="CI1" s="81" t="s">
        <v>163</v>
      </c>
      <c r="CJ1" s="82"/>
      <c r="CK1" s="83" t="s">
        <v>162</v>
      </c>
      <c r="CL1" s="82"/>
      <c r="CM1" s="81" t="s">
        <v>0</v>
      </c>
      <c r="CN1" s="82"/>
      <c r="CO1" s="81" t="s">
        <v>1</v>
      </c>
      <c r="CP1" s="82"/>
      <c r="CQ1" s="81" t="s">
        <v>2</v>
      </c>
      <c r="CR1" s="82"/>
      <c r="CS1" s="83" t="s">
        <v>3</v>
      </c>
      <c r="CT1" s="82"/>
      <c r="CU1" s="81" t="s">
        <v>4</v>
      </c>
      <c r="CV1" s="82"/>
      <c r="CW1" s="81" t="s">
        <v>5</v>
      </c>
      <c r="CX1" s="82"/>
      <c r="CY1" s="83"/>
      <c r="CZ1" s="82"/>
      <c r="DA1" s="83"/>
      <c r="DB1" s="72"/>
      <c r="DC1" s="191">
        <f>C1</f>
        <v>45930</v>
      </c>
      <c r="DD1" s="187"/>
      <c r="DE1" s="191">
        <f>E1</f>
        <v>45838</v>
      </c>
      <c r="DF1" s="187"/>
      <c r="DG1" s="191">
        <f>G1</f>
        <v>45747</v>
      </c>
      <c r="DH1" s="187"/>
      <c r="DI1" s="191">
        <f>I1</f>
        <v>45657</v>
      </c>
      <c r="DK1" s="191">
        <f>K1</f>
        <v>45565</v>
      </c>
      <c r="DL1" s="187"/>
      <c r="DM1" s="191">
        <f>M1</f>
        <v>45473</v>
      </c>
      <c r="DN1" s="187"/>
      <c r="DO1" s="191">
        <f>O1</f>
        <v>45382</v>
      </c>
      <c r="DP1" s="187"/>
      <c r="DQ1" s="191">
        <f>Q1</f>
        <v>45291</v>
      </c>
      <c r="DS1" s="191">
        <f>S1</f>
        <v>45199</v>
      </c>
      <c r="DT1" s="187"/>
      <c r="DU1" s="191">
        <f>U1</f>
        <v>45107</v>
      </c>
      <c r="DV1" s="187"/>
      <c r="DW1" s="191">
        <f>W1</f>
        <v>45016</v>
      </c>
      <c r="DX1" s="187"/>
      <c r="DY1" s="191">
        <f>Y1</f>
        <v>44926</v>
      </c>
      <c r="EA1" s="191">
        <f>AA1</f>
        <v>44834</v>
      </c>
      <c r="EC1" s="191">
        <f>AC1</f>
        <v>44742</v>
      </c>
      <c r="EE1" s="191">
        <f>AE1</f>
        <v>44651</v>
      </c>
      <c r="EG1" s="191">
        <f>AG1</f>
        <v>44561</v>
      </c>
      <c r="EI1" s="191" t="str">
        <f>AI1</f>
        <v>30.09.2021</v>
      </c>
      <c r="EK1" s="191" t="str">
        <f>AK1</f>
        <v>30.06.2021</v>
      </c>
      <c r="EM1" s="81" t="s">
        <v>281</v>
      </c>
      <c r="EO1" s="81" t="s">
        <v>282</v>
      </c>
      <c r="EQ1" s="81" t="str">
        <f>AQ1</f>
        <v>30.09.2020</v>
      </c>
      <c r="ES1" s="81" t="str">
        <f>AS1</f>
        <v>30.06.2020</v>
      </c>
      <c r="EU1" s="81" t="str">
        <f>AU1</f>
        <v>31.03.2020</v>
      </c>
      <c r="EW1" s="81" t="str">
        <f>AW1</f>
        <v>31.12.2019</v>
      </c>
      <c r="EY1" s="81" t="str">
        <f>AY1</f>
        <v>30.09.2019</v>
      </c>
      <c r="FA1" s="81" t="str">
        <f>BA1</f>
        <v>30.06.2019</v>
      </c>
      <c r="FC1" s="81" t="str">
        <f>BC1</f>
        <v>31.03.2019</v>
      </c>
      <c r="FE1" s="81" t="str">
        <f>BE1</f>
        <v>31.12.2018</v>
      </c>
      <c r="FG1" s="81" t="str">
        <f>BG1</f>
        <v>30.09.2018</v>
      </c>
      <c r="FI1" s="81" t="str">
        <f>BI1</f>
        <v>30.06.2018</v>
      </c>
      <c r="FK1" s="81" t="str">
        <f>BK1</f>
        <v>31.03.2018</v>
      </c>
      <c r="FM1" s="81" t="str">
        <f>BM1</f>
        <v>31.12.2017</v>
      </c>
      <c r="FO1" s="81" t="str">
        <f>BO1</f>
        <v>30.09.2017</v>
      </c>
      <c r="FQ1" s="81" t="str">
        <f>BQ1</f>
        <v>30.06.2017</v>
      </c>
      <c r="FS1" s="81" t="str">
        <f>BS1</f>
        <v>31.03.2017</v>
      </c>
      <c r="FU1" s="81" t="str">
        <f>BU1</f>
        <v>31.12.2016</v>
      </c>
      <c r="FW1" s="81" t="str">
        <f>BW1</f>
        <v>30.09.2016</v>
      </c>
      <c r="FY1" s="81" t="str">
        <f>BY1</f>
        <v>30.06.2016</v>
      </c>
      <c r="GA1" s="81" t="str">
        <f>CA1</f>
        <v>31.03.2016</v>
      </c>
      <c r="GC1" s="81" t="str">
        <f>CC1</f>
        <v>31.12.2015</v>
      </c>
      <c r="GE1" s="81" t="str">
        <f>CE1</f>
        <v>30.09.2015</v>
      </c>
      <c r="GG1" s="81" t="str">
        <f>CG1</f>
        <v>30.06.2015</v>
      </c>
      <c r="GI1" s="81" t="str">
        <f>CI1</f>
        <v>31.03.2015</v>
      </c>
      <c r="GK1" s="81" t="str">
        <f>CK1</f>
        <v>31.12.2014</v>
      </c>
      <c r="GM1" s="81" t="str">
        <f>CM1</f>
        <v>30.09.2014</v>
      </c>
      <c r="GO1" s="81" t="str">
        <f>CO1</f>
        <v>30.06.2014</v>
      </c>
      <c r="GQ1" s="81" t="str">
        <f>CQ1</f>
        <v>31.03.2014</v>
      </c>
      <c r="GS1" s="81" t="str">
        <f>CS1</f>
        <v>31.12.2013</v>
      </c>
      <c r="GU1" s="81" t="str">
        <f>CU1</f>
        <v>30.09.2013</v>
      </c>
    </row>
    <row r="2" spans="1:203" s="4" customFormat="1" ht="39.75" customHeight="1">
      <c r="A2" s="203"/>
      <c r="B2" s="2"/>
      <c r="C2" s="90" t="s">
        <v>194</v>
      </c>
      <c r="D2" s="2"/>
      <c r="E2" s="89" t="s">
        <v>193</v>
      </c>
      <c r="F2" s="2"/>
      <c r="G2" s="89" t="s">
        <v>192</v>
      </c>
      <c r="H2" s="2"/>
      <c r="I2" s="89" t="s">
        <v>195</v>
      </c>
      <c r="J2" s="2"/>
      <c r="K2" s="90" t="s">
        <v>194</v>
      </c>
      <c r="L2" s="2"/>
      <c r="M2" s="89" t="s">
        <v>193</v>
      </c>
      <c r="N2" s="2"/>
      <c r="O2" s="89" t="s">
        <v>192</v>
      </c>
      <c r="P2" s="2"/>
      <c r="Q2" s="89" t="s">
        <v>195</v>
      </c>
      <c r="R2" s="2"/>
      <c r="S2" s="90" t="s">
        <v>194</v>
      </c>
      <c r="T2" s="2"/>
      <c r="U2" s="89" t="s">
        <v>193</v>
      </c>
      <c r="V2" s="2"/>
      <c r="W2" s="89" t="s">
        <v>192</v>
      </c>
      <c r="X2" s="2"/>
      <c r="Y2" s="89" t="s">
        <v>195</v>
      </c>
      <c r="Z2" s="2"/>
      <c r="AA2" s="90" t="s">
        <v>194</v>
      </c>
      <c r="AB2" s="2"/>
      <c r="AC2" s="89" t="s">
        <v>193</v>
      </c>
      <c r="AD2" s="2"/>
      <c r="AE2" s="89" t="s">
        <v>192</v>
      </c>
      <c r="AF2" s="2"/>
      <c r="AG2" s="89" t="s">
        <v>195</v>
      </c>
      <c r="AH2" s="2"/>
      <c r="AI2" s="90" t="s">
        <v>194</v>
      </c>
      <c r="AJ2" s="2"/>
      <c r="AK2" s="89" t="s">
        <v>193</v>
      </c>
      <c r="AL2" s="2"/>
      <c r="AM2" s="89" t="s">
        <v>192</v>
      </c>
      <c r="AN2" s="2"/>
      <c r="AO2" s="89" t="s">
        <v>195</v>
      </c>
      <c r="AP2" s="2"/>
      <c r="AQ2" s="90" t="s">
        <v>194</v>
      </c>
      <c r="AR2" s="2"/>
      <c r="AS2" s="89" t="s">
        <v>193</v>
      </c>
      <c r="AT2" s="2"/>
      <c r="AU2" s="89" t="s">
        <v>192</v>
      </c>
      <c r="AV2" s="2"/>
      <c r="AW2" s="89" t="s">
        <v>195</v>
      </c>
      <c r="AX2" s="2"/>
      <c r="AY2" s="90" t="s">
        <v>194</v>
      </c>
      <c r="AZ2" s="2"/>
      <c r="BA2" s="89" t="s">
        <v>193</v>
      </c>
      <c r="BB2" s="2"/>
      <c r="BC2" s="89" t="s">
        <v>192</v>
      </c>
      <c r="BD2" s="2"/>
      <c r="BE2" s="89" t="s">
        <v>195</v>
      </c>
      <c r="BF2" s="2"/>
      <c r="BG2" s="90" t="s">
        <v>265</v>
      </c>
      <c r="BH2" s="2"/>
      <c r="BI2" s="89" t="s">
        <v>238</v>
      </c>
      <c r="BJ2" s="2"/>
      <c r="BK2" s="89" t="s">
        <v>237</v>
      </c>
      <c r="BL2" s="2"/>
      <c r="BM2" s="89" t="s">
        <v>194</v>
      </c>
      <c r="BN2" s="2"/>
      <c r="BO2" s="89" t="s">
        <v>193</v>
      </c>
      <c r="BP2" s="2"/>
      <c r="BQ2" s="89" t="s">
        <v>192</v>
      </c>
      <c r="BR2" s="2"/>
      <c r="BS2" s="89" t="s">
        <v>195</v>
      </c>
      <c r="BT2" s="2"/>
      <c r="BU2" s="90" t="s">
        <v>194</v>
      </c>
      <c r="BV2" s="2"/>
      <c r="BW2" s="89" t="s">
        <v>193</v>
      </c>
      <c r="BX2" s="2"/>
      <c r="BY2" s="89" t="s">
        <v>192</v>
      </c>
      <c r="BZ2" s="2"/>
      <c r="CA2" s="89" t="s">
        <v>195</v>
      </c>
      <c r="CB2" s="2"/>
      <c r="CC2" s="90" t="s">
        <v>194</v>
      </c>
      <c r="CD2" s="2"/>
      <c r="CE2" s="89" t="s">
        <v>193</v>
      </c>
      <c r="CF2" s="2"/>
      <c r="CG2" s="89" t="s">
        <v>192</v>
      </c>
      <c r="CH2" s="2"/>
      <c r="CI2" s="89" t="s">
        <v>195</v>
      </c>
      <c r="CJ2" s="2"/>
      <c r="CK2" s="90" t="s">
        <v>194</v>
      </c>
      <c r="CL2" s="2"/>
      <c r="CM2" s="89" t="s">
        <v>193</v>
      </c>
      <c r="CN2" s="2"/>
      <c r="CO2" s="89" t="s">
        <v>192</v>
      </c>
      <c r="CP2" s="2"/>
      <c r="CQ2" s="89" t="s">
        <v>195</v>
      </c>
      <c r="CR2" s="2"/>
      <c r="CS2" s="90" t="s">
        <v>194</v>
      </c>
      <c r="CT2" s="2"/>
      <c r="CU2" s="89" t="s">
        <v>193</v>
      </c>
      <c r="CV2" s="2"/>
      <c r="CW2" s="89" t="s">
        <v>192</v>
      </c>
      <c r="CX2" s="2"/>
      <c r="CY2" s="90"/>
      <c r="CZ2" s="2"/>
      <c r="DA2" s="90"/>
      <c r="DB2" s="72"/>
      <c r="DC2" s="91" t="s">
        <v>58</v>
      </c>
      <c r="DE2" s="91" t="s">
        <v>58</v>
      </c>
      <c r="DG2" s="91" t="s">
        <v>58</v>
      </c>
      <c r="DI2" s="91" t="s">
        <v>58</v>
      </c>
      <c r="DK2" s="91" t="s">
        <v>58</v>
      </c>
      <c r="DM2" s="91" t="s">
        <v>58</v>
      </c>
      <c r="DO2" s="91" t="s">
        <v>58</v>
      </c>
      <c r="DQ2" s="91" t="s">
        <v>58</v>
      </c>
      <c r="DS2" s="91" t="s">
        <v>58</v>
      </c>
      <c r="DU2" s="91" t="s">
        <v>58</v>
      </c>
      <c r="DW2" s="91" t="s">
        <v>58</v>
      </c>
      <c r="DY2" s="91" t="s">
        <v>58</v>
      </c>
      <c r="EA2" s="91" t="s">
        <v>58</v>
      </c>
      <c r="EC2" s="91" t="s">
        <v>58</v>
      </c>
      <c r="EE2" s="91" t="s">
        <v>58</v>
      </c>
      <c r="EG2" s="91" t="s">
        <v>58</v>
      </c>
      <c r="EI2" s="91" t="s">
        <v>58</v>
      </c>
      <c r="EK2" s="91" t="s">
        <v>58</v>
      </c>
      <c r="EM2" s="91" t="s">
        <v>58</v>
      </c>
      <c r="EO2" s="91" t="s">
        <v>58</v>
      </c>
      <c r="EQ2" s="91" t="s">
        <v>58</v>
      </c>
      <c r="ES2" s="91" t="s">
        <v>58</v>
      </c>
      <c r="EU2" s="91" t="s">
        <v>58</v>
      </c>
      <c r="EW2" s="91" t="s">
        <v>58</v>
      </c>
      <c r="EY2" s="91" t="s">
        <v>58</v>
      </c>
      <c r="FA2" s="91" t="s">
        <v>58</v>
      </c>
      <c r="FC2" s="91" t="s">
        <v>58</v>
      </c>
      <c r="FE2" s="91" t="s">
        <v>58</v>
      </c>
      <c r="FG2" s="91" t="s">
        <v>58</v>
      </c>
      <c r="FI2" s="91" t="s">
        <v>58</v>
      </c>
      <c r="FK2" s="91" t="s">
        <v>58</v>
      </c>
      <c r="FM2" s="91" t="s">
        <v>58</v>
      </c>
      <c r="FO2" s="91" t="s">
        <v>58</v>
      </c>
      <c r="FQ2" s="91" t="s">
        <v>58</v>
      </c>
      <c r="FS2" s="91" t="s">
        <v>58</v>
      </c>
      <c r="FU2" s="91" t="s">
        <v>58</v>
      </c>
      <c r="FW2" s="91" t="s">
        <v>58</v>
      </c>
      <c r="FY2" s="91" t="s">
        <v>58</v>
      </c>
      <c r="GA2" s="91" t="s">
        <v>58</v>
      </c>
      <c r="GC2" s="91" t="s">
        <v>58</v>
      </c>
      <c r="GE2" s="91" t="s">
        <v>58</v>
      </c>
      <c r="GG2" s="91" t="s">
        <v>58</v>
      </c>
      <c r="GI2" s="91" t="s">
        <v>58</v>
      </c>
      <c r="GK2" s="91" t="s">
        <v>58</v>
      </c>
      <c r="GM2" s="91" t="s">
        <v>58</v>
      </c>
      <c r="GO2" s="91" t="s">
        <v>58</v>
      </c>
      <c r="GQ2" s="91" t="s">
        <v>58</v>
      </c>
      <c r="GS2" s="91" t="s">
        <v>58</v>
      </c>
      <c r="GU2" s="91" t="s">
        <v>58</v>
      </c>
    </row>
    <row r="3" spans="1:203">
      <c r="A3" s="95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</row>
    <row r="4" spans="1:203" ht="13">
      <c r="A4" s="106" t="s">
        <v>89</v>
      </c>
      <c r="I4" s="29"/>
      <c r="Q4" s="29"/>
      <c r="Y4" s="29"/>
      <c r="AG4" s="29"/>
      <c r="AO4" s="29"/>
      <c r="AW4" s="29"/>
      <c r="BE4" s="29"/>
      <c r="BM4" s="29"/>
      <c r="CA4" s="29"/>
    </row>
    <row r="5" spans="1:203">
      <c r="A5" s="38" t="s">
        <v>70</v>
      </c>
      <c r="C5" s="29"/>
      <c r="E5" s="29"/>
      <c r="G5" s="29"/>
      <c r="I5" s="29">
        <f>'Rachunek jednostkowy'!I23</f>
        <v>34288372.960000008</v>
      </c>
      <c r="K5" s="29">
        <f>'Rachunek jednostkowy'!K23</f>
        <v>91319767.86999996</v>
      </c>
      <c r="M5" s="29">
        <f>'Rachunek jednostkowy'!M23</f>
        <v>68638068.960000008</v>
      </c>
      <c r="O5" s="29">
        <f>'Rachunek jednostkowy'!O23</f>
        <v>60062323.670000017</v>
      </c>
      <c r="Q5" s="29">
        <f>'Rachunek jednostkowy'!Q23</f>
        <v>29861996.339999996</v>
      </c>
      <c r="S5" s="29">
        <f>'Rachunek jednostkowy'!S23</f>
        <v>32274135.149999987</v>
      </c>
      <c r="U5" s="29">
        <f>'Rachunek jednostkowy'!U23</f>
        <v>20932166.740000021</v>
      </c>
      <c r="W5" s="29">
        <f>'Rachunek jednostkowy'!W23</f>
        <v>14662354.070000008</v>
      </c>
      <c r="Y5" s="29">
        <f>'Rachunek jednostkowy'!Y23</f>
        <v>14371404.140000014</v>
      </c>
      <c r="AA5" s="29">
        <f>'Rachunek jednostkowy'!AA23</f>
        <v>1793004.960000027</v>
      </c>
      <c r="AC5" s="29">
        <f>'Rachunek jednostkowy'!AC23</f>
        <v>27694.339999993565</v>
      </c>
      <c r="AE5" s="29">
        <f>'Rachunek jednostkowy'!AE23</f>
        <v>948908.62000000593</v>
      </c>
      <c r="AG5" s="29">
        <f>'Rachunek jednostkowy'!AG23</f>
        <v>1091057.3600000015</v>
      </c>
      <c r="AI5" s="29">
        <f>'Rachunek jednostkowy'!AI23</f>
        <v>5337052.8599999966</v>
      </c>
      <c r="AK5" s="29">
        <f>'Rachunek jednostkowy'!AK23</f>
        <v>3387369.1400000043</v>
      </c>
      <c r="AM5" s="29">
        <f>'Rachunek jednostkowy'!AM23</f>
        <v>5608652.9000000013</v>
      </c>
      <c r="AO5" s="29">
        <f>'Rachunek jednostkowy'!AO23</f>
        <v>3919993.7300000009</v>
      </c>
      <c r="AQ5" s="29">
        <f>'Rachunek jednostkowy'!AQ23</f>
        <v>6733443.5700000031</v>
      </c>
      <c r="AS5" s="29">
        <f>'Rachunek jednostkowy'!AS23</f>
        <v>4196286.5599999893</v>
      </c>
      <c r="AU5" s="29">
        <f>'Rachunek jednostkowy'!AU23</f>
        <v>3756089.1800000118</v>
      </c>
      <c r="AW5" s="29">
        <f>'Rachunek jednostkowy'!AW23</f>
        <v>1853603.6300000034</v>
      </c>
      <c r="AY5" s="29">
        <f>'Rachunek jednostkowy'!AY23</f>
        <v>10035607.350000015</v>
      </c>
      <c r="BA5" s="29">
        <v>10945038.140000021</v>
      </c>
      <c r="BC5" s="29">
        <v>11311985.719999997</v>
      </c>
      <c r="BE5" s="29">
        <f>'Rachunek jednostkowy'!BE23</f>
        <v>10193763.049999991</v>
      </c>
      <c r="BG5" s="29">
        <v>-3158904.3700000038</v>
      </c>
      <c r="BI5" s="29">
        <v>770722.73000000347</v>
      </c>
      <c r="BK5" s="29">
        <v>1889856.1399999904</v>
      </c>
      <c r="BM5" s="29">
        <v>2185667.659999996</v>
      </c>
      <c r="BO5" s="29">
        <v>-1218157.6799999976</v>
      </c>
      <c r="BQ5" s="29">
        <v>-630028.18999999727</v>
      </c>
      <c r="BS5" s="29">
        <v>-509574.95000000036</v>
      </c>
      <c r="BU5" s="29">
        <v>2302665.0000000061</v>
      </c>
      <c r="BW5" s="29">
        <v>-1124383.4299999967</v>
      </c>
      <c r="BY5" s="29">
        <v>-924503.30999999773</v>
      </c>
      <c r="CA5" s="29">
        <v>-692647.66999999993</v>
      </c>
      <c r="CC5" s="29">
        <v>-664063.47999999579</v>
      </c>
      <c r="CE5" s="29">
        <v>-1754623.0100000044</v>
      </c>
      <c r="CG5" s="29">
        <v>-3586661.7299999995</v>
      </c>
      <c r="CI5" s="29">
        <v>-840480.25999999943</v>
      </c>
      <c r="CK5" s="29">
        <v>1622821.8700000031</v>
      </c>
      <c r="CM5" s="29">
        <v>-641251.08154762071</v>
      </c>
      <c r="CO5" s="29">
        <v>-570561.82697159285</v>
      </c>
      <c r="CQ5" s="29">
        <v>-583932.35923441546</v>
      </c>
      <c r="CS5" s="29">
        <v>3714558.4694606438</v>
      </c>
      <c r="CU5" s="29">
        <v>256886.20892915947</v>
      </c>
      <c r="CW5" s="29">
        <v>-1260328.2488103909</v>
      </c>
      <c r="CY5" s="29"/>
      <c r="DA5" s="29"/>
      <c r="DC5" s="29"/>
      <c r="DD5" s="5"/>
      <c r="DE5" s="29"/>
      <c r="DF5" s="5"/>
      <c r="DG5" s="29"/>
      <c r="DH5" s="5"/>
      <c r="DI5" s="29">
        <f>I5</f>
        <v>34288372.960000008</v>
      </c>
      <c r="DJ5" s="5"/>
      <c r="DK5" s="29">
        <f>K5-M5</f>
        <v>22681698.909999952</v>
      </c>
      <c r="DL5" s="5"/>
      <c r="DM5" s="29">
        <f>M5-O5</f>
        <v>8575745.2899999917</v>
      </c>
      <c r="DN5" s="5"/>
      <c r="DO5" s="29">
        <f>O5-Q5</f>
        <v>30200327.330000021</v>
      </c>
      <c r="DP5" s="5"/>
      <c r="DQ5" s="29">
        <f>Q5</f>
        <v>29861996.339999996</v>
      </c>
      <c r="DR5" s="5"/>
      <c r="DS5" s="29">
        <f>S5-U5</f>
        <v>11341968.409999967</v>
      </c>
      <c r="DT5" s="5"/>
      <c r="DU5" s="29">
        <f>U5-W5</f>
        <v>6269812.670000013</v>
      </c>
      <c r="DV5" s="5"/>
      <c r="DW5" s="29">
        <f>W5-Y5</f>
        <v>290949.92999999411</v>
      </c>
      <c r="DX5" s="5"/>
      <c r="DY5" s="29">
        <f>Y5</f>
        <v>14371404.140000014</v>
      </c>
      <c r="DZ5" s="5"/>
      <c r="EA5" s="29">
        <f t="shared" ref="EA5:EA21" si="0">AA5-AC5</f>
        <v>1765310.6200000334</v>
      </c>
      <c r="EB5" s="5"/>
      <c r="EC5" s="29">
        <f t="shared" ref="EC5:EC21" si="1">AC5-AE5</f>
        <v>-921214.28000001237</v>
      </c>
      <c r="ED5" s="5"/>
      <c r="EE5" s="29">
        <f>AE5-AG5</f>
        <v>-142148.73999999557</v>
      </c>
      <c r="EF5" s="5"/>
      <c r="EG5" s="29">
        <f>AG5</f>
        <v>1091057.3600000015</v>
      </c>
      <c r="EH5" s="5"/>
      <c r="EI5" s="29">
        <f t="shared" ref="EI5:EK21" si="2">AI5-AK5</f>
        <v>1949683.7199999923</v>
      </c>
      <c r="EJ5" s="5"/>
      <c r="EK5" s="29">
        <f t="shared" si="2"/>
        <v>-2221283.759999997</v>
      </c>
      <c r="EL5" s="5"/>
      <c r="EM5" s="29">
        <f>AM5-AO5</f>
        <v>1688659.1700000004</v>
      </c>
      <c r="EN5" s="5"/>
      <c r="EO5" s="29">
        <f>AO5</f>
        <v>3919993.7300000009</v>
      </c>
      <c r="EP5" s="5"/>
      <c r="EQ5" s="29">
        <f>AQ5-AS5</f>
        <v>2537157.0100000137</v>
      </c>
      <c r="ER5" s="5"/>
      <c r="ES5" s="29">
        <f>AS5-AU5</f>
        <v>440197.37999997754</v>
      </c>
      <c r="ET5" s="5"/>
      <c r="EU5" s="29">
        <f>AU5-AW5</f>
        <v>1902485.5500000084</v>
      </c>
      <c r="EV5" s="5"/>
      <c r="EW5" s="29">
        <f>AW5</f>
        <v>1853603.6300000034</v>
      </c>
      <c r="EX5" s="5"/>
      <c r="EY5" s="29">
        <f>AY5-BA5</f>
        <v>-909430.79000000656</v>
      </c>
      <c r="EZ5" s="5"/>
      <c r="FA5" s="29">
        <f>BA5-BC5</f>
        <v>-366947.57999997586</v>
      </c>
      <c r="FB5" s="5"/>
      <c r="FC5" s="29">
        <f>BC5-BE5</f>
        <v>1118222.6700000055</v>
      </c>
      <c r="FD5" s="5"/>
      <c r="FE5" s="29">
        <f>BE5</f>
        <v>10193763.049999991</v>
      </c>
      <c r="FF5" s="5"/>
      <c r="FG5" s="29">
        <v>-1160677.1800000074</v>
      </c>
      <c r="FH5" s="5"/>
      <c r="FI5" s="29">
        <f>BI5-BK5</f>
        <v>-1119133.4099999869</v>
      </c>
      <c r="FJ5" s="5"/>
      <c r="FK5" s="29">
        <f>BK5-BM5</f>
        <v>-295811.52000000561</v>
      </c>
      <c r="FL5" s="5"/>
      <c r="FM5" s="29">
        <f>BM5-BO5</f>
        <v>3403825.3399999933</v>
      </c>
      <c r="FN5" s="5"/>
      <c r="FO5" s="29">
        <f>BO5-BQ5</f>
        <v>-588129.49000000034</v>
      </c>
      <c r="FP5" s="5"/>
      <c r="FQ5" s="29">
        <f>BQ5-BS5</f>
        <v>-120453.23999999691</v>
      </c>
      <c r="FR5" s="5"/>
      <c r="FS5" s="29">
        <f>BS5</f>
        <v>-509574.95000000036</v>
      </c>
      <c r="FT5" s="5"/>
      <c r="FU5" s="29">
        <f>BU5-BW5</f>
        <v>3427048.4300000025</v>
      </c>
      <c r="FV5" s="5"/>
      <c r="FW5" s="29">
        <f>BW5-BY5</f>
        <v>-199880.11999999895</v>
      </c>
      <c r="FX5" s="5"/>
      <c r="FY5" s="29">
        <f>BY5-CA5</f>
        <v>-231855.6399999978</v>
      </c>
      <c r="FZ5" s="5"/>
      <c r="GA5" s="29">
        <f>CA5</f>
        <v>-692647.66999999993</v>
      </c>
      <c r="GB5" s="5"/>
      <c r="GC5" s="29">
        <f>CC5-CE5</f>
        <v>1090559.5300000086</v>
      </c>
      <c r="GD5" s="5"/>
      <c r="GE5" s="29">
        <f>CE5-CG5</f>
        <v>1832038.7199999951</v>
      </c>
      <c r="GF5" s="5"/>
      <c r="GG5" s="29">
        <f>CG5-CI5</f>
        <v>-2746181.47</v>
      </c>
      <c r="GH5" s="5"/>
      <c r="GI5" s="29">
        <f>CI5</f>
        <v>-840480.25999999943</v>
      </c>
      <c r="GJ5" s="5"/>
      <c r="GK5" s="29">
        <f>CK5-CM5</f>
        <v>2264072.9515476236</v>
      </c>
      <c r="GL5" s="5"/>
      <c r="GM5" s="29">
        <f>CM5-CO5</f>
        <v>-70689.254576027859</v>
      </c>
      <c r="GN5" s="5"/>
      <c r="GO5" s="29">
        <f>CO5-CQ5</f>
        <v>13370.532262822613</v>
      </c>
      <c r="GP5" s="5"/>
      <c r="GQ5" s="29">
        <f>CQ5</f>
        <v>-583932.35923441546</v>
      </c>
      <c r="GR5" s="5"/>
      <c r="GS5" s="29">
        <f>CS5-CU5</f>
        <v>3457672.2605314841</v>
      </c>
      <c r="GT5" s="5"/>
      <c r="GU5" s="29">
        <f>CU5-CW5</f>
        <v>1517214.4577395504</v>
      </c>
    </row>
    <row r="6" spans="1:203">
      <c r="A6" s="38" t="s">
        <v>90</v>
      </c>
      <c r="C6" s="29"/>
      <c r="E6" s="29"/>
      <c r="G6" s="29"/>
      <c r="I6" s="29">
        <f>SUM(I7:I21)</f>
        <v>68443751.670000032</v>
      </c>
      <c r="K6" s="29">
        <f>SUM(K7:K21)</f>
        <v>-38738224.134200014</v>
      </c>
      <c r="M6" s="29">
        <f>SUM(M7:M21)</f>
        <v>-34001457.864199974</v>
      </c>
      <c r="O6" s="29">
        <f>SUM(O7:O21)</f>
        <v>-33208107.394200001</v>
      </c>
      <c r="Q6" s="29">
        <f>SUM(Q7:Q21)</f>
        <v>57961893.005799994</v>
      </c>
      <c r="S6" s="29">
        <f>SUM(S7:S21)</f>
        <v>23448214.304200023</v>
      </c>
      <c r="U6" s="29">
        <f>SUM(U7:U21)</f>
        <v>-7041489.2199999811</v>
      </c>
      <c r="W6" s="29">
        <f>SUM(W7:W21)</f>
        <v>7935353.1100000069</v>
      </c>
      <c r="Y6" s="29">
        <f>SUM(Y7:Y21)</f>
        <v>12485715.27</v>
      </c>
      <c r="AA6" s="29">
        <f>SUM(AA7:AA21)</f>
        <v>-10141504.650000023</v>
      </c>
      <c r="AC6" s="29">
        <f>SUM(AC7:AC21)</f>
        <v>-6203337.1600000001</v>
      </c>
      <c r="AE6" s="29">
        <f>SUM(AE7:AE21)</f>
        <v>-17638877.960000008</v>
      </c>
      <c r="AG6" s="29">
        <f>SUM(AG7:AG21)</f>
        <v>17824915.480000004</v>
      </c>
      <c r="AI6" s="29">
        <f>SUM(AI7:AI21)</f>
        <v>10817643.420000002</v>
      </c>
      <c r="AK6" s="29">
        <f>SUM(AK7:AK21)</f>
        <v>6349778.6599999974</v>
      </c>
      <c r="AM6" s="29">
        <f>SUM(AM7:AM21)</f>
        <v>3774786.1100000013</v>
      </c>
      <c r="AO6" s="29">
        <f>SUM(AO7:AO21)</f>
        <v>7011297.5600000033</v>
      </c>
      <c r="AQ6" s="29">
        <f>SUM(AQ7:AQ21)</f>
        <v>3170301.7299999897</v>
      </c>
      <c r="AS6" s="29">
        <f>SUM(AS7:AS21)</f>
        <v>686148.58799999964</v>
      </c>
      <c r="AU6" s="29">
        <f>SUM(AU7:AU21)</f>
        <v>-8788224.5200000107</v>
      </c>
      <c r="AW6" s="29">
        <f>SUM(AW7:AW21)</f>
        <v>8379168.5</v>
      </c>
      <c r="AY6" s="29">
        <f>SUM(AY7:AY21)</f>
        <v>-2595493.9099999946</v>
      </c>
      <c r="BA6" s="29">
        <f>SUM(BA7:BA21)</f>
        <v>-7325441.0200000005</v>
      </c>
      <c r="BC6" s="29">
        <f>SUM(BC7:BC21)</f>
        <v>2226747.1999999946</v>
      </c>
      <c r="BE6" s="29">
        <f>SUM(BE7:BE21)</f>
        <v>16888473.170000002</v>
      </c>
      <c r="BG6" s="29">
        <v>5277223.2599999988</v>
      </c>
      <c r="BI6" s="29">
        <f>SUM(BI7:BI21)</f>
        <v>-3914190.8400000054</v>
      </c>
      <c r="BK6" s="29">
        <v>-5416827.4800000004</v>
      </c>
      <c r="BM6" s="29">
        <f>SUM(BM7:BM21)</f>
        <v>11046062.460000001</v>
      </c>
      <c r="BO6" s="29">
        <f>SUM(BO7:BO21)</f>
        <v>-5818582.2199999979</v>
      </c>
      <c r="BQ6" s="29">
        <f>SUM(BQ7:BQ21)</f>
        <v>-3889914.1099999966</v>
      </c>
      <c r="BS6" s="29">
        <f>SUM(BS7:BS21)</f>
        <v>-3733301.6899999981</v>
      </c>
      <c r="BU6" s="29">
        <f>SUM(BU7:BU21)</f>
        <v>-11633992.089999998</v>
      </c>
      <c r="BW6" s="29">
        <f>SUM(BW7:BW21)</f>
        <v>-14981060.149999995</v>
      </c>
      <c r="BY6" s="29">
        <f>SUM(BY7:BY21)</f>
        <v>-11238072.300000001</v>
      </c>
      <c r="CA6" s="29">
        <f>SUM(CA7:CA21)</f>
        <v>-11792465.539999999</v>
      </c>
      <c r="CC6" s="29">
        <f>SUM(CC7:CC21)</f>
        <v>6566420.7799999984</v>
      </c>
      <c r="CE6" s="29">
        <f>SUM(CE7:CE21)</f>
        <v>-1817826.6200000015</v>
      </c>
      <c r="CG6" s="29">
        <f>SUM(CG7:CG21)</f>
        <v>-13758253.299999999</v>
      </c>
      <c r="CI6" s="29">
        <f>SUM(CI7:CI21)</f>
        <v>-11728196.380000001</v>
      </c>
      <c r="CK6" s="29">
        <f>SUM(CK7:CK21)</f>
        <v>9794450.7426032815</v>
      </c>
      <c r="CM6" s="29">
        <f>SUM(CM7:CM21)</f>
        <v>-14337942.501463301</v>
      </c>
      <c r="CO6" s="29">
        <f>SUM(CO7:CO21)</f>
        <v>-10406068.889119234</v>
      </c>
      <c r="CQ6" s="29">
        <f>SUM(CQ7:CQ21)</f>
        <v>-11320364.300536878</v>
      </c>
      <c r="CS6" s="29">
        <f>SUM(CS7:CS21)</f>
        <v>646940.88575419516</v>
      </c>
      <c r="CU6" s="29">
        <f>SUM(CU7:CU21)</f>
        <v>-6851131.2570679644</v>
      </c>
      <c r="CW6" s="29">
        <f>SUM(CW7:CW21)</f>
        <v>-6564854.6373074688</v>
      </c>
      <c r="CY6" s="29"/>
      <c r="DA6" s="29"/>
      <c r="DC6" s="29"/>
      <c r="DD6" s="5"/>
      <c r="DE6" s="29"/>
      <c r="DF6" s="5"/>
      <c r="DG6" s="29"/>
      <c r="DH6" s="5"/>
      <c r="DI6" s="29">
        <f>SUM(DI7:DI21)</f>
        <v>68443751.670000032</v>
      </c>
      <c r="DJ6" s="5"/>
      <c r="DK6" s="29">
        <f>SUM(DK7:DK21)</f>
        <v>-4736766.2700000377</v>
      </c>
      <c r="DL6" s="5"/>
      <c r="DM6" s="29">
        <f>SUM(DM7:DM21)</f>
        <v>-793350.46999998298</v>
      </c>
      <c r="DN6" s="5"/>
      <c r="DO6" s="29">
        <f>SUM(DO7:DO21)</f>
        <v>-91170000.399999976</v>
      </c>
      <c r="DP6" s="5"/>
      <c r="DQ6" s="29">
        <f>SUM(DQ7:DQ21)</f>
        <v>57961893.005799994</v>
      </c>
      <c r="DR6" s="5"/>
      <c r="DS6" s="29">
        <f>SUM(DS7:DS21)</f>
        <v>30489703.524200007</v>
      </c>
      <c r="DT6" s="5"/>
      <c r="DU6" s="29">
        <f>SUM(DU7:DU21)</f>
        <v>-14976842.329999993</v>
      </c>
      <c r="DV6" s="5"/>
      <c r="DW6" s="29">
        <f>SUM(DW7:DW21)</f>
        <v>-4550362.159999989</v>
      </c>
      <c r="DX6" s="5"/>
      <c r="DY6" s="29">
        <f>SUM(DY7:DY21)</f>
        <v>12485715.27</v>
      </c>
      <c r="DZ6" s="5"/>
      <c r="EA6" s="29">
        <f t="shared" si="0"/>
        <v>-3938167.4900000226</v>
      </c>
      <c r="EB6" s="5"/>
      <c r="EC6" s="29">
        <f t="shared" si="1"/>
        <v>11435540.800000008</v>
      </c>
      <c r="ED6" s="5"/>
      <c r="EE6" s="29">
        <f t="shared" ref="EE6:EE21" si="3">AE6-AG6</f>
        <v>-35463793.440000013</v>
      </c>
      <c r="EF6" s="5"/>
      <c r="EG6" s="29">
        <f t="shared" ref="EG6:EG21" si="4">AG6</f>
        <v>17824915.480000004</v>
      </c>
      <c r="EH6" s="5"/>
      <c r="EI6" s="29">
        <f t="shared" si="2"/>
        <v>4467864.7600000044</v>
      </c>
      <c r="EJ6" s="5"/>
      <c r="EK6" s="29">
        <f t="shared" si="2"/>
        <v>2574992.5499999961</v>
      </c>
      <c r="EL6" s="5"/>
      <c r="EM6" s="29">
        <f t="shared" ref="EM6:EM21" si="5">AM6-AO6</f>
        <v>-3236511.450000002</v>
      </c>
      <c r="EN6" s="5"/>
      <c r="EO6" s="29">
        <f t="shared" ref="EO6:EO21" si="6">AO6</f>
        <v>7011297.5600000033</v>
      </c>
      <c r="EP6" s="5"/>
      <c r="EQ6" s="29">
        <f t="shared" ref="EQ6:EQ7" si="7">AQ6-AS6</f>
        <v>2484153.1419999902</v>
      </c>
      <c r="ER6" s="5"/>
      <c r="ES6" s="29">
        <f t="shared" ref="ES6:ES7" si="8">AS6-AU6</f>
        <v>9474373.1080000103</v>
      </c>
      <c r="ET6" s="5"/>
      <c r="EU6" s="29">
        <f t="shared" ref="EU6:EU7" si="9">AU6-AW6</f>
        <v>-17167393.020000011</v>
      </c>
      <c r="EV6" s="5"/>
      <c r="EW6" s="29">
        <f t="shared" ref="EW6:EW20" si="10">AW6</f>
        <v>8379168.5</v>
      </c>
      <c r="EX6" s="5"/>
      <c r="EY6" s="29">
        <f t="shared" ref="EY6:FC22" si="11">AY6-BA6</f>
        <v>4729947.1100000059</v>
      </c>
      <c r="EZ6" s="5"/>
      <c r="FA6" s="29">
        <f t="shared" si="11"/>
        <v>-9552188.2199999951</v>
      </c>
      <c r="FB6" s="5"/>
      <c r="FC6" s="29">
        <f t="shared" si="11"/>
        <v>-14661725.970000006</v>
      </c>
      <c r="FD6" s="5"/>
      <c r="FE6" s="29">
        <f t="shared" ref="FE6:FE22" si="12">BE6</f>
        <v>16888473.170000002</v>
      </c>
      <c r="FF6" s="5"/>
      <c r="FG6" s="29">
        <v>7524704.9399999995</v>
      </c>
      <c r="FH6" s="5"/>
      <c r="FI6" s="29">
        <f t="shared" ref="FI6:FI22" si="13">BI6-BK6</f>
        <v>1502636.639999995</v>
      </c>
      <c r="FJ6" s="5"/>
      <c r="FK6" s="29">
        <f t="shared" ref="FK6:FK22" si="14">BK6-BM6</f>
        <v>-16462889.940000001</v>
      </c>
      <c r="FL6" s="5"/>
      <c r="FM6" s="29">
        <f t="shared" ref="FM6:FM22" si="15">BM6-BO6</f>
        <v>16864644.68</v>
      </c>
      <c r="FN6" s="5"/>
      <c r="FO6" s="29">
        <f t="shared" ref="FO6:FO22" si="16">BO6-BQ6</f>
        <v>-1928668.1100000013</v>
      </c>
      <c r="FP6" s="5"/>
      <c r="FQ6" s="29">
        <f t="shared" ref="FQ6:FQ22" si="17">BQ6-BS6</f>
        <v>-156612.41999999853</v>
      </c>
      <c r="FR6" s="5"/>
      <c r="FS6" s="29">
        <f t="shared" ref="FS6:FS22" si="18">BS6</f>
        <v>-3733301.6899999981</v>
      </c>
      <c r="FT6" s="5"/>
      <c r="FU6" s="29">
        <f>BU6-BW6</f>
        <v>3347068.0599999968</v>
      </c>
      <c r="FV6" s="5"/>
      <c r="FW6" s="29">
        <f t="shared" ref="FU6:FY22" si="19">BW6-BY6</f>
        <v>-3742987.849999994</v>
      </c>
      <c r="FX6" s="5"/>
      <c r="FY6" s="29">
        <f t="shared" si="19"/>
        <v>554393.23999999836</v>
      </c>
      <c r="FZ6" s="5"/>
      <c r="GA6" s="29">
        <f t="shared" ref="GA6:GA22" si="20">CA6</f>
        <v>-11792465.539999999</v>
      </c>
      <c r="GB6" s="5"/>
      <c r="GC6" s="29">
        <f t="shared" ref="GC6:GG22" si="21">CC6-CE6</f>
        <v>8384247.4000000004</v>
      </c>
      <c r="GD6" s="5"/>
      <c r="GE6" s="29">
        <f t="shared" si="21"/>
        <v>11940426.679999998</v>
      </c>
      <c r="GF6" s="5"/>
      <c r="GG6" s="29">
        <f t="shared" si="21"/>
        <v>-2030056.9199999981</v>
      </c>
      <c r="GH6" s="5"/>
      <c r="GI6" s="29">
        <f t="shared" ref="GI6:GI22" si="22">CI6</f>
        <v>-11728196.380000001</v>
      </c>
      <c r="GJ6" s="5"/>
      <c r="GK6" s="29">
        <f t="shared" ref="GK6:GM22" si="23">CK6-CM6</f>
        <v>24132393.244066581</v>
      </c>
      <c r="GL6" s="5"/>
      <c r="GM6" s="29">
        <f t="shared" si="23"/>
        <v>-3931873.6123440675</v>
      </c>
      <c r="GN6" s="5"/>
      <c r="GO6" s="29">
        <f t="shared" ref="GO6:GO22" si="24">CO6-CQ6</f>
        <v>914295.41141764447</v>
      </c>
      <c r="GP6" s="5"/>
      <c r="GQ6" s="29">
        <f t="shared" ref="GQ6:GQ22" si="25">CQ6</f>
        <v>-11320364.300536878</v>
      </c>
      <c r="GR6" s="5"/>
      <c r="GS6" s="29">
        <f t="shared" ref="GS6:GU22" si="26">CS6-CU6</f>
        <v>7498072.1428221595</v>
      </c>
      <c r="GT6" s="5"/>
      <c r="GU6" s="29">
        <f t="shared" si="26"/>
        <v>-286276.61976049561</v>
      </c>
    </row>
    <row r="7" spans="1:203">
      <c r="A7" s="96" t="s">
        <v>62</v>
      </c>
      <c r="C7" s="29"/>
      <c r="E7" s="29"/>
      <c r="G7" s="29"/>
      <c r="I7" s="29">
        <v>2796901.86</v>
      </c>
      <c r="K7" s="29">
        <v>8029903.7000000002</v>
      </c>
      <c r="M7" s="29">
        <v>5608087.5</v>
      </c>
      <c r="O7" s="29">
        <v>3779636.68</v>
      </c>
      <c r="Q7" s="29">
        <v>1874942.31</v>
      </c>
      <c r="S7" s="29">
        <v>6404365</v>
      </c>
      <c r="U7" s="29">
        <v>4628752.04</v>
      </c>
      <c r="W7" s="29">
        <v>3011279.51</v>
      </c>
      <c r="Y7" s="29">
        <v>1484328.76</v>
      </c>
      <c r="AA7" s="29">
        <v>5804885.4800000004</v>
      </c>
      <c r="AC7" s="29">
        <v>4289184.3499999996</v>
      </c>
      <c r="AE7" s="29">
        <v>2806993.78</v>
      </c>
      <c r="AG7" s="29">
        <v>1343918.56</v>
      </c>
      <c r="AI7" s="29">
        <v>5292726.13</v>
      </c>
      <c r="AK7" s="29">
        <v>4000380.01</v>
      </c>
      <c r="AM7" s="29">
        <v>2630022.59</v>
      </c>
      <c r="AO7" s="29">
        <v>1304395.46</v>
      </c>
      <c r="AQ7" s="29">
        <v>4606553.21</v>
      </c>
      <c r="AS7" s="29">
        <v>3366098.53</v>
      </c>
      <c r="AU7" s="29">
        <v>2223716.81</v>
      </c>
      <c r="AW7" s="29">
        <v>1114827.32</v>
      </c>
      <c r="AY7" s="29">
        <v>3678185.27</v>
      </c>
      <c r="BA7" s="29">
        <v>2813596.86</v>
      </c>
      <c r="BC7" s="29">
        <v>1890638.66</v>
      </c>
      <c r="BE7" s="29">
        <v>952583.13</v>
      </c>
      <c r="BG7" s="29">
        <v>6360301.6600000001</v>
      </c>
      <c r="BI7" s="29">
        <v>3659780.64</v>
      </c>
      <c r="BK7" s="29">
        <v>2999094.24</v>
      </c>
      <c r="BM7" s="29">
        <v>2345151.75</v>
      </c>
      <c r="BO7" s="29">
        <v>1756887.66</v>
      </c>
      <c r="BQ7" s="29">
        <v>1168986.48</v>
      </c>
      <c r="BS7" s="29">
        <v>581778.35</v>
      </c>
      <c r="BU7" s="29">
        <v>2038097.05</v>
      </c>
      <c r="BW7" s="29">
        <v>1550639.72</v>
      </c>
      <c r="BY7" s="29">
        <v>1025939.83</v>
      </c>
      <c r="CA7" s="29">
        <v>509973.63</v>
      </c>
      <c r="CC7" s="29">
        <v>4222984.33</v>
      </c>
      <c r="CE7" s="29">
        <v>3194648.69</v>
      </c>
      <c r="CG7" s="29">
        <v>2117210.2000000002</v>
      </c>
      <c r="CI7" s="29">
        <v>1058248.3799999999</v>
      </c>
      <c r="CK7" s="29">
        <v>3790549.5</v>
      </c>
      <c r="CM7" s="29">
        <v>2776182.0605993094</v>
      </c>
      <c r="CO7" s="29">
        <v>1719490.0970662062</v>
      </c>
      <c r="CQ7" s="29">
        <v>752033.14353310305</v>
      </c>
      <c r="CS7" s="29">
        <v>2984865.4641324123</v>
      </c>
      <c r="CU7" s="29">
        <v>2244212.7205993091</v>
      </c>
      <c r="CW7" s="29">
        <v>1482626.2370662061</v>
      </c>
      <c r="CY7" s="29"/>
      <c r="DA7" s="29"/>
      <c r="DC7" s="29"/>
      <c r="DD7" s="5"/>
      <c r="DE7" s="29"/>
      <c r="DF7" s="5"/>
      <c r="DG7" s="29"/>
      <c r="DH7" s="5"/>
      <c r="DI7" s="29">
        <f t="shared" ref="DI7:DI21" si="27">I7</f>
        <v>2796901.86</v>
      </c>
      <c r="DJ7" s="5"/>
      <c r="DK7" s="29">
        <f t="shared" ref="DK7:DO21" si="28">K7-M7</f>
        <v>2421816.2000000002</v>
      </c>
      <c r="DL7" s="5"/>
      <c r="DM7" s="29">
        <f t="shared" si="28"/>
        <v>1828450.8199999998</v>
      </c>
      <c r="DN7" s="5"/>
      <c r="DO7" s="29">
        <f t="shared" si="28"/>
        <v>1904694.37</v>
      </c>
      <c r="DP7" s="5"/>
      <c r="DQ7" s="29">
        <f t="shared" ref="DQ7:DQ21" si="29">Q7</f>
        <v>1874942.31</v>
      </c>
      <c r="DR7" s="5"/>
      <c r="DS7" s="29">
        <f t="shared" ref="DS7:DW21" si="30">S7-U7</f>
        <v>1775612.96</v>
      </c>
      <c r="DT7" s="5"/>
      <c r="DU7" s="29">
        <f t="shared" si="30"/>
        <v>1617472.5300000003</v>
      </c>
      <c r="DV7" s="5"/>
      <c r="DW7" s="29">
        <f t="shared" si="30"/>
        <v>1526950.7499999998</v>
      </c>
      <c r="DX7" s="5"/>
      <c r="DY7" s="29">
        <f t="shared" ref="DY7:DY21" si="31">Y7</f>
        <v>1484328.76</v>
      </c>
      <c r="DZ7" s="5"/>
      <c r="EA7" s="29">
        <f t="shared" si="0"/>
        <v>1515701.1300000008</v>
      </c>
      <c r="EB7" s="5"/>
      <c r="EC7" s="29">
        <f t="shared" si="1"/>
        <v>1482190.5699999998</v>
      </c>
      <c r="ED7" s="5"/>
      <c r="EE7" s="29">
        <f t="shared" si="3"/>
        <v>1463075.2199999997</v>
      </c>
      <c r="EF7" s="5"/>
      <c r="EG7" s="29">
        <f t="shared" si="4"/>
        <v>1343918.56</v>
      </c>
      <c r="EH7" s="5"/>
      <c r="EI7" s="29">
        <f t="shared" si="2"/>
        <v>1292346.1200000001</v>
      </c>
      <c r="EJ7" s="5"/>
      <c r="EK7" s="29">
        <f t="shared" si="2"/>
        <v>1370357.42</v>
      </c>
      <c r="EL7" s="5"/>
      <c r="EM7" s="29">
        <f t="shared" si="5"/>
        <v>1325627.1299999999</v>
      </c>
      <c r="EN7" s="5"/>
      <c r="EO7" s="29">
        <f t="shared" si="6"/>
        <v>1304395.46</v>
      </c>
      <c r="EP7" s="5"/>
      <c r="EQ7" s="29">
        <f t="shared" si="7"/>
        <v>1240454.6800000002</v>
      </c>
      <c r="ER7" s="5"/>
      <c r="ES7" s="29">
        <f t="shared" si="8"/>
        <v>1142381.7199999997</v>
      </c>
      <c r="ET7" s="5"/>
      <c r="EU7" s="29">
        <f t="shared" si="9"/>
        <v>1108889.49</v>
      </c>
      <c r="EV7" s="5"/>
      <c r="EW7" s="29">
        <f t="shared" si="10"/>
        <v>1114827.32</v>
      </c>
      <c r="EX7" s="5"/>
      <c r="EY7" s="29">
        <f t="shared" si="11"/>
        <v>864588.41000000015</v>
      </c>
      <c r="EZ7" s="5"/>
      <c r="FA7" s="29">
        <f t="shared" si="11"/>
        <v>922958.2</v>
      </c>
      <c r="FB7" s="5"/>
      <c r="FC7" s="29">
        <f t="shared" si="11"/>
        <v>938055.52999999991</v>
      </c>
      <c r="FD7" s="5"/>
      <c r="FE7" s="29">
        <f t="shared" si="12"/>
        <v>952583.13</v>
      </c>
      <c r="FF7" s="5"/>
      <c r="FG7" s="29">
        <v>854904.27999999991</v>
      </c>
      <c r="FH7" s="5"/>
      <c r="FI7" s="29">
        <f t="shared" si="13"/>
        <v>660686.39999999991</v>
      </c>
      <c r="FJ7" s="5"/>
      <c r="FK7" s="29">
        <f t="shared" si="14"/>
        <v>653942.49000000022</v>
      </c>
      <c r="FL7" s="5"/>
      <c r="FM7" s="29">
        <f t="shared" si="15"/>
        <v>588264.09000000008</v>
      </c>
      <c r="FN7" s="5"/>
      <c r="FO7" s="29">
        <f t="shared" si="16"/>
        <v>587901.17999999993</v>
      </c>
      <c r="FP7" s="5"/>
      <c r="FQ7" s="29">
        <f t="shared" si="17"/>
        <v>587208.13</v>
      </c>
      <c r="FR7" s="5"/>
      <c r="FS7" s="29">
        <f t="shared" si="18"/>
        <v>581778.35</v>
      </c>
      <c r="FT7" s="5"/>
      <c r="FU7" s="29">
        <f t="shared" si="19"/>
        <v>487457.33000000007</v>
      </c>
      <c r="FV7" s="5"/>
      <c r="FW7" s="29">
        <f t="shared" si="19"/>
        <v>524699.89</v>
      </c>
      <c r="FX7" s="5"/>
      <c r="FY7" s="29">
        <f t="shared" si="19"/>
        <v>515966.19999999995</v>
      </c>
      <c r="FZ7" s="5"/>
      <c r="GA7" s="29">
        <f t="shared" si="20"/>
        <v>509973.63</v>
      </c>
      <c r="GB7" s="5"/>
      <c r="GC7" s="29">
        <f t="shared" si="21"/>
        <v>1028335.6400000001</v>
      </c>
      <c r="GD7" s="5"/>
      <c r="GE7" s="29">
        <f t="shared" si="21"/>
        <v>1077438.4899999998</v>
      </c>
      <c r="GF7" s="5"/>
      <c r="GG7" s="29">
        <f t="shared" si="21"/>
        <v>1058961.8200000003</v>
      </c>
      <c r="GH7" s="5"/>
      <c r="GI7" s="29">
        <f t="shared" si="22"/>
        <v>1058248.3799999999</v>
      </c>
      <c r="GJ7" s="5"/>
      <c r="GK7" s="29">
        <f t="shared" si="23"/>
        <v>1014367.4394006906</v>
      </c>
      <c r="GL7" s="5"/>
      <c r="GM7" s="29">
        <f t="shared" si="23"/>
        <v>1056691.9635331032</v>
      </c>
      <c r="GN7" s="5"/>
      <c r="GO7" s="29">
        <f t="shared" si="24"/>
        <v>967456.95353310311</v>
      </c>
      <c r="GP7" s="5"/>
      <c r="GQ7" s="29">
        <f t="shared" si="25"/>
        <v>752033.14353310305</v>
      </c>
      <c r="GR7" s="5"/>
      <c r="GS7" s="29">
        <f t="shared" si="26"/>
        <v>740652.74353310326</v>
      </c>
      <c r="GT7" s="5"/>
      <c r="GU7" s="29">
        <f t="shared" si="26"/>
        <v>761586.48353310302</v>
      </c>
    </row>
    <row r="8" spans="1:203">
      <c r="A8" s="96" t="s">
        <v>91</v>
      </c>
      <c r="C8" s="29"/>
      <c r="E8" s="29"/>
      <c r="G8" s="29"/>
      <c r="I8" s="29">
        <v>0</v>
      </c>
      <c r="K8" s="29">
        <v>0</v>
      </c>
      <c r="M8" s="29">
        <v>0</v>
      </c>
      <c r="O8" s="29">
        <v>0</v>
      </c>
      <c r="Q8" s="29">
        <v>0</v>
      </c>
      <c r="S8" s="29">
        <v>0</v>
      </c>
      <c r="U8" s="29">
        <v>0</v>
      </c>
      <c r="W8" s="29">
        <v>0</v>
      </c>
      <c r="Y8" s="29">
        <v>0</v>
      </c>
      <c r="AA8" s="29">
        <v>0</v>
      </c>
      <c r="AC8" s="29">
        <v>0</v>
      </c>
      <c r="AE8" s="29">
        <v>0</v>
      </c>
      <c r="AG8" s="29">
        <v>0</v>
      </c>
      <c r="AI8" s="29">
        <v>0</v>
      </c>
      <c r="AK8" s="29">
        <v>0</v>
      </c>
      <c r="AM8" s="29">
        <v>0</v>
      </c>
      <c r="AO8" s="29">
        <v>0</v>
      </c>
      <c r="AQ8" s="29">
        <v>0</v>
      </c>
      <c r="AS8" s="29">
        <v>0</v>
      </c>
      <c r="AU8" s="29">
        <v>0</v>
      </c>
      <c r="AW8" s="29">
        <v>0</v>
      </c>
      <c r="AY8" s="29">
        <v>0</v>
      </c>
      <c r="BA8" s="29">
        <v>0</v>
      </c>
      <c r="BC8" s="29">
        <v>0</v>
      </c>
      <c r="BE8" s="29">
        <v>0</v>
      </c>
      <c r="BG8" s="29">
        <v>0</v>
      </c>
      <c r="BI8" s="29">
        <v>0</v>
      </c>
      <c r="BK8" s="29">
        <v>0</v>
      </c>
      <c r="BM8" s="29">
        <v>0</v>
      </c>
      <c r="BO8" s="29">
        <v>0</v>
      </c>
      <c r="BQ8" s="29">
        <v>0</v>
      </c>
      <c r="BS8" s="29">
        <v>0</v>
      </c>
      <c r="BU8" s="29">
        <v>0</v>
      </c>
      <c r="BW8" s="29">
        <v>0</v>
      </c>
      <c r="BY8" s="29">
        <v>0</v>
      </c>
      <c r="CA8" s="29">
        <v>0</v>
      </c>
      <c r="CC8" s="29">
        <v>0</v>
      </c>
      <c r="CE8" s="29"/>
      <c r="CG8" s="29">
        <v>0</v>
      </c>
      <c r="CI8" s="29">
        <v>0</v>
      </c>
      <c r="CK8" s="29">
        <v>0</v>
      </c>
      <c r="CM8" s="29"/>
      <c r="CO8" s="29">
        <v>0</v>
      </c>
      <c r="CQ8" s="29">
        <v>0</v>
      </c>
      <c r="CS8" s="29"/>
      <c r="CU8" s="29"/>
      <c r="CW8" s="29">
        <v>0</v>
      </c>
      <c r="CY8" s="29"/>
      <c r="DA8" s="29"/>
      <c r="DC8" s="29"/>
      <c r="DD8" s="5"/>
      <c r="DE8" s="29"/>
      <c r="DF8" s="5"/>
      <c r="DG8" s="29"/>
      <c r="DH8" s="5"/>
      <c r="DI8" s="29">
        <f t="shared" si="27"/>
        <v>0</v>
      </c>
      <c r="DJ8" s="5"/>
      <c r="DK8" s="29">
        <f t="shared" si="28"/>
        <v>0</v>
      </c>
      <c r="DL8" s="5"/>
      <c r="DM8" s="29">
        <f t="shared" si="28"/>
        <v>0</v>
      </c>
      <c r="DN8" s="5"/>
      <c r="DO8" s="29">
        <f t="shared" si="28"/>
        <v>0</v>
      </c>
      <c r="DP8" s="5"/>
      <c r="DQ8" s="29">
        <f t="shared" si="29"/>
        <v>0</v>
      </c>
      <c r="DR8" s="5"/>
      <c r="DS8" s="29">
        <f t="shared" si="30"/>
        <v>0</v>
      </c>
      <c r="DT8" s="5"/>
      <c r="DU8" s="29">
        <f t="shared" si="30"/>
        <v>0</v>
      </c>
      <c r="DV8" s="5"/>
      <c r="DW8" s="29">
        <f t="shared" si="30"/>
        <v>0</v>
      </c>
      <c r="DX8" s="5"/>
      <c r="DY8" s="29">
        <f t="shared" si="31"/>
        <v>0</v>
      </c>
      <c r="DZ8" s="5"/>
      <c r="EA8" s="29">
        <f t="shared" si="0"/>
        <v>0</v>
      </c>
      <c r="EB8" s="5"/>
      <c r="EC8" s="29">
        <f t="shared" si="1"/>
        <v>0</v>
      </c>
      <c r="ED8" s="5"/>
      <c r="EE8" s="29">
        <f t="shared" si="3"/>
        <v>0</v>
      </c>
      <c r="EF8" s="5"/>
      <c r="EG8" s="29">
        <f t="shared" si="4"/>
        <v>0</v>
      </c>
      <c r="EH8" s="5"/>
      <c r="EI8" s="29">
        <f t="shared" si="2"/>
        <v>0</v>
      </c>
      <c r="EJ8" s="5"/>
      <c r="EK8" s="29">
        <f t="shared" si="2"/>
        <v>0</v>
      </c>
      <c r="EL8" s="5"/>
      <c r="EM8" s="29">
        <f t="shared" si="5"/>
        <v>0</v>
      </c>
      <c r="EN8" s="5"/>
      <c r="EO8" s="29">
        <f t="shared" si="6"/>
        <v>0</v>
      </c>
      <c r="EP8" s="5"/>
      <c r="EQ8" s="29"/>
      <c r="ER8" s="5"/>
      <c r="ES8" s="29"/>
      <c r="ET8" s="5"/>
      <c r="EU8" s="29"/>
      <c r="EV8" s="5"/>
      <c r="EW8" s="29">
        <f t="shared" si="10"/>
        <v>0</v>
      </c>
      <c r="EX8" s="5"/>
      <c r="EY8" s="29"/>
      <c r="EZ8" s="5"/>
      <c r="FA8" s="29"/>
      <c r="FB8" s="5"/>
      <c r="FC8" s="29"/>
      <c r="FD8" s="5"/>
      <c r="FE8" s="29">
        <f t="shared" si="12"/>
        <v>0</v>
      </c>
      <c r="FF8" s="5"/>
      <c r="FG8" s="29">
        <v>0</v>
      </c>
      <c r="FH8" s="5"/>
      <c r="FI8" s="29"/>
      <c r="FJ8" s="5"/>
      <c r="FK8" s="29"/>
      <c r="FL8" s="5"/>
      <c r="FM8" s="29"/>
      <c r="FN8" s="5"/>
      <c r="FO8" s="29"/>
      <c r="FP8" s="5"/>
      <c r="FQ8" s="29"/>
      <c r="FR8" s="5"/>
      <c r="FS8" s="29"/>
      <c r="FT8" s="5"/>
      <c r="FU8" s="29"/>
      <c r="FV8" s="5"/>
      <c r="FW8" s="29"/>
      <c r="FX8" s="5"/>
      <c r="FY8" s="29"/>
      <c r="FZ8" s="5"/>
      <c r="GA8" s="29"/>
      <c r="GB8" s="5"/>
      <c r="GC8" s="29"/>
      <c r="GD8" s="5"/>
      <c r="GE8" s="29"/>
      <c r="GF8" s="5"/>
      <c r="GG8" s="29"/>
      <c r="GH8" s="5"/>
      <c r="GI8" s="29"/>
      <c r="GJ8" s="5"/>
      <c r="GK8" s="29"/>
      <c r="GL8" s="5"/>
      <c r="GM8" s="29"/>
      <c r="GN8" s="5"/>
      <c r="GO8" s="29"/>
      <c r="GP8" s="5"/>
      <c r="GQ8" s="29"/>
      <c r="GR8" s="5"/>
      <c r="GS8" s="29"/>
      <c r="GT8" s="5"/>
      <c r="GU8" s="29"/>
    </row>
    <row r="9" spans="1:203">
      <c r="A9" s="96" t="s">
        <v>92</v>
      </c>
      <c r="C9" s="29"/>
      <c r="E9" s="29"/>
      <c r="G9" s="29"/>
      <c r="I9" s="29">
        <v>-140950</v>
      </c>
      <c r="K9" s="29">
        <v>520550</v>
      </c>
      <c r="M9" s="29">
        <v>408500</v>
      </c>
      <c r="O9" s="29">
        <v>408500</v>
      </c>
      <c r="Q9" s="29">
        <v>0</v>
      </c>
      <c r="S9" s="29">
        <v>90421.54</v>
      </c>
      <c r="U9" s="29">
        <v>0</v>
      </c>
      <c r="W9" s="29">
        <v>0</v>
      </c>
      <c r="Y9" s="29">
        <v>0</v>
      </c>
      <c r="AA9" s="29">
        <v>0</v>
      </c>
      <c r="AC9" s="29">
        <v>0</v>
      </c>
      <c r="AE9" s="29">
        <v>0</v>
      </c>
      <c r="AG9" s="29">
        <v>0</v>
      </c>
      <c r="AI9" s="29">
        <v>0</v>
      </c>
      <c r="AK9" s="29">
        <v>0</v>
      </c>
      <c r="AM9" s="29">
        <v>0</v>
      </c>
      <c r="AO9" s="29">
        <v>0</v>
      </c>
      <c r="AQ9" s="29">
        <v>0</v>
      </c>
      <c r="AS9" s="29">
        <v>0</v>
      </c>
      <c r="AU9" s="29">
        <v>0</v>
      </c>
      <c r="AW9" s="29">
        <v>0</v>
      </c>
      <c r="AY9" s="29">
        <v>0</v>
      </c>
      <c r="BA9" s="29">
        <v>0</v>
      </c>
      <c r="BC9" s="29">
        <v>0</v>
      </c>
      <c r="BE9" s="29">
        <v>0</v>
      </c>
      <c r="BG9" s="29">
        <v>56265</v>
      </c>
      <c r="BI9" s="29">
        <v>56265</v>
      </c>
      <c r="BK9" s="29">
        <v>56265</v>
      </c>
      <c r="BM9" s="29">
        <v>56265</v>
      </c>
      <c r="BO9" s="29">
        <v>0</v>
      </c>
      <c r="BQ9" s="29">
        <v>0</v>
      </c>
      <c r="BS9" s="29">
        <v>0</v>
      </c>
      <c r="BU9" s="29">
        <v>0</v>
      </c>
      <c r="BW9" s="29">
        <v>0</v>
      </c>
      <c r="BY9" s="29">
        <v>0</v>
      </c>
      <c r="CA9" s="29">
        <v>0</v>
      </c>
      <c r="CC9" s="29">
        <v>0</v>
      </c>
      <c r="CE9" s="29">
        <v>0</v>
      </c>
      <c r="CG9" s="29">
        <v>0</v>
      </c>
      <c r="CI9" s="29">
        <v>0</v>
      </c>
      <c r="CK9" s="29">
        <v>0</v>
      </c>
      <c r="CM9" s="29">
        <v>0</v>
      </c>
      <c r="CO9" s="29">
        <v>0</v>
      </c>
      <c r="CQ9" s="29">
        <v>0</v>
      </c>
      <c r="CS9" s="29">
        <v>0</v>
      </c>
      <c r="CU9" s="29">
        <v>0</v>
      </c>
      <c r="CW9" s="29">
        <v>0</v>
      </c>
      <c r="CY9" s="29"/>
      <c r="DA9" s="29"/>
      <c r="DC9" s="29"/>
      <c r="DD9" s="5"/>
      <c r="DE9" s="29"/>
      <c r="DF9" s="5"/>
      <c r="DG9" s="29"/>
      <c r="DH9" s="5"/>
      <c r="DI9" s="29">
        <f t="shared" si="27"/>
        <v>-140950</v>
      </c>
      <c r="DJ9" s="5"/>
      <c r="DK9" s="29">
        <f t="shared" si="28"/>
        <v>112050</v>
      </c>
      <c r="DL9" s="5"/>
      <c r="DM9" s="29">
        <f t="shared" si="28"/>
        <v>0</v>
      </c>
      <c r="DN9" s="5"/>
      <c r="DO9" s="29">
        <f t="shared" si="28"/>
        <v>408500</v>
      </c>
      <c r="DP9" s="5"/>
      <c r="DQ9" s="29">
        <f t="shared" si="29"/>
        <v>0</v>
      </c>
      <c r="DR9" s="5"/>
      <c r="DS9" s="29">
        <f t="shared" si="30"/>
        <v>90421.54</v>
      </c>
      <c r="DT9" s="5"/>
      <c r="DU9" s="29">
        <f t="shared" si="30"/>
        <v>0</v>
      </c>
      <c r="DV9" s="5"/>
      <c r="DW9" s="29">
        <f t="shared" si="30"/>
        <v>0</v>
      </c>
      <c r="DX9" s="5"/>
      <c r="DY9" s="29">
        <f t="shared" si="31"/>
        <v>0</v>
      </c>
      <c r="DZ9" s="5"/>
      <c r="EA9" s="29">
        <f t="shared" si="0"/>
        <v>0</v>
      </c>
      <c r="EB9" s="5"/>
      <c r="EC9" s="29">
        <f t="shared" si="1"/>
        <v>0</v>
      </c>
      <c r="ED9" s="5"/>
      <c r="EE9" s="29">
        <f t="shared" si="3"/>
        <v>0</v>
      </c>
      <c r="EF9" s="5"/>
      <c r="EG9" s="29">
        <f t="shared" si="4"/>
        <v>0</v>
      </c>
      <c r="EH9" s="5"/>
      <c r="EI9" s="29">
        <f t="shared" si="2"/>
        <v>0</v>
      </c>
      <c r="EJ9" s="5"/>
      <c r="EK9" s="29">
        <f t="shared" si="2"/>
        <v>0</v>
      </c>
      <c r="EL9" s="5"/>
      <c r="EM9" s="29">
        <f t="shared" si="5"/>
        <v>0</v>
      </c>
      <c r="EN9" s="5"/>
      <c r="EO9" s="29">
        <f t="shared" si="6"/>
        <v>0</v>
      </c>
      <c r="EP9" s="5"/>
      <c r="EQ9" s="29">
        <f t="shared" ref="EQ9:EQ21" si="32">AQ9-AS9</f>
        <v>0</v>
      </c>
      <c r="ER9" s="5"/>
      <c r="ES9" s="29">
        <f t="shared" ref="ES9:ES22" si="33">AS9-AU9</f>
        <v>0</v>
      </c>
      <c r="ET9" s="5"/>
      <c r="EU9" s="29">
        <f t="shared" ref="EU9:EU22" si="34">AU9-AW9</f>
        <v>0</v>
      </c>
      <c r="EV9" s="5"/>
      <c r="EW9" s="29">
        <f t="shared" si="10"/>
        <v>0</v>
      </c>
      <c r="EX9" s="5"/>
      <c r="EY9" s="29">
        <f t="shared" si="11"/>
        <v>0</v>
      </c>
      <c r="EZ9" s="5"/>
      <c r="FA9" s="29">
        <f t="shared" si="11"/>
        <v>0</v>
      </c>
      <c r="FB9" s="5"/>
      <c r="FC9" s="29">
        <f t="shared" si="11"/>
        <v>0</v>
      </c>
      <c r="FD9" s="5"/>
      <c r="FE9" s="29">
        <f t="shared" si="12"/>
        <v>0</v>
      </c>
      <c r="FF9" s="5"/>
      <c r="FG9" s="29">
        <v>0</v>
      </c>
      <c r="FH9" s="5"/>
      <c r="FI9" s="29">
        <f t="shared" si="13"/>
        <v>0</v>
      </c>
      <c r="FJ9" s="5"/>
      <c r="FK9" s="29">
        <f t="shared" si="14"/>
        <v>0</v>
      </c>
      <c r="FL9" s="5"/>
      <c r="FM9" s="29">
        <f t="shared" si="15"/>
        <v>56265</v>
      </c>
      <c r="FN9" s="5"/>
      <c r="FO9" s="29">
        <f t="shared" si="16"/>
        <v>0</v>
      </c>
      <c r="FP9" s="5"/>
      <c r="FQ9" s="29">
        <f t="shared" si="17"/>
        <v>0</v>
      </c>
      <c r="FR9" s="5"/>
      <c r="FS9" s="29">
        <f t="shared" si="18"/>
        <v>0</v>
      </c>
      <c r="FT9" s="5"/>
      <c r="FU9" s="29">
        <f t="shared" si="19"/>
        <v>0</v>
      </c>
      <c r="FV9" s="5"/>
      <c r="FW9" s="29">
        <f t="shared" si="19"/>
        <v>0</v>
      </c>
      <c r="FX9" s="5"/>
      <c r="FY9" s="29">
        <f t="shared" si="19"/>
        <v>0</v>
      </c>
      <c r="FZ9" s="5"/>
      <c r="GA9" s="29">
        <f t="shared" si="20"/>
        <v>0</v>
      </c>
      <c r="GB9" s="5"/>
      <c r="GC9" s="29">
        <f t="shared" si="21"/>
        <v>0</v>
      </c>
      <c r="GD9" s="5"/>
      <c r="GE9" s="29">
        <f t="shared" si="21"/>
        <v>0</v>
      </c>
      <c r="GF9" s="5"/>
      <c r="GG9" s="29">
        <f t="shared" si="21"/>
        <v>0</v>
      </c>
      <c r="GH9" s="5"/>
      <c r="GI9" s="29">
        <f t="shared" si="22"/>
        <v>0</v>
      </c>
      <c r="GJ9" s="5"/>
      <c r="GK9" s="29">
        <f t="shared" si="23"/>
        <v>0</v>
      </c>
      <c r="GL9" s="5"/>
      <c r="GM9" s="29">
        <f t="shared" si="23"/>
        <v>0</v>
      </c>
      <c r="GN9" s="5"/>
      <c r="GO9" s="29">
        <f t="shared" si="24"/>
        <v>0</v>
      </c>
      <c r="GP9" s="5"/>
      <c r="GQ9" s="29">
        <f t="shared" si="25"/>
        <v>0</v>
      </c>
      <c r="GR9" s="5"/>
      <c r="GS9" s="29">
        <f t="shared" si="26"/>
        <v>0</v>
      </c>
      <c r="GT9" s="5"/>
      <c r="GU9" s="29">
        <f t="shared" si="26"/>
        <v>0</v>
      </c>
    </row>
    <row r="10" spans="1:203">
      <c r="A10" s="96" t="s">
        <v>318</v>
      </c>
      <c r="C10" s="29"/>
      <c r="E10" s="29"/>
      <c r="G10" s="29"/>
      <c r="I10" s="29">
        <v>-36311.01</v>
      </c>
      <c r="K10" s="29">
        <v>-366018.85</v>
      </c>
      <c r="M10" s="29">
        <v>-282004.21999999997</v>
      </c>
      <c r="O10" s="29">
        <v>-188493.62</v>
      </c>
      <c r="Q10" s="29">
        <v>-94863.34</v>
      </c>
      <c r="S10" s="29">
        <v>-450469.69</v>
      </c>
      <c r="U10" s="29">
        <v>-356182.83999999997</v>
      </c>
      <c r="W10" s="29">
        <v>-253062.57</v>
      </c>
      <c r="Y10" s="29">
        <v>-84967.359999999971</v>
      </c>
      <c r="AA10" s="29">
        <v>-393805.44</v>
      </c>
      <c r="AC10" s="29">
        <v>-288919.83999999997</v>
      </c>
      <c r="AE10" s="29">
        <v>-171903.87</v>
      </c>
      <c r="AG10" s="29">
        <v>-74667.840000000011</v>
      </c>
      <c r="AI10" s="29">
        <v>-210444.55000000002</v>
      </c>
      <c r="AK10" s="29">
        <v>-154953.72</v>
      </c>
      <c r="AM10" s="29">
        <v>-101428.18999999999</v>
      </c>
      <c r="AO10" s="29">
        <v>-50803.380000000005</v>
      </c>
      <c r="AQ10" s="29">
        <v>-495574.73</v>
      </c>
      <c r="AS10" s="29">
        <v>-429057.14199999999</v>
      </c>
      <c r="AU10" s="29">
        <v>-362975.81</v>
      </c>
      <c r="AW10" s="29">
        <v>-291200</v>
      </c>
      <c r="AY10" s="29">
        <v>-210187.77</v>
      </c>
      <c r="BA10" s="29">
        <v>-149730.76</v>
      </c>
      <c r="BC10" s="29">
        <v>-91131.930000000008</v>
      </c>
      <c r="BE10" s="29">
        <v>-36341.56</v>
      </c>
      <c r="BG10" s="29">
        <v>-272316.76</v>
      </c>
      <c r="BI10" s="29">
        <v>-239175.09000000003</v>
      </c>
      <c r="BK10" s="29">
        <v>-206405.23</v>
      </c>
      <c r="BM10" s="29">
        <v>-171964.09999999998</v>
      </c>
      <c r="BO10" s="29">
        <v>-134080.93</v>
      </c>
      <c r="BQ10" s="29">
        <v>-96197.759999999995</v>
      </c>
      <c r="BS10" s="29">
        <v>0</v>
      </c>
      <c r="BU10" s="29">
        <v>-0.17</v>
      </c>
      <c r="BW10" s="29">
        <v>0</v>
      </c>
      <c r="BY10" s="29">
        <v>0</v>
      </c>
      <c r="CA10" s="29">
        <v>0</v>
      </c>
      <c r="CC10" s="29">
        <v>0</v>
      </c>
      <c r="CE10" s="29">
        <v>0</v>
      </c>
      <c r="CG10" s="29">
        <v>0</v>
      </c>
      <c r="CI10" s="29">
        <v>0</v>
      </c>
      <c r="CK10" s="29">
        <v>-11566.13</v>
      </c>
      <c r="CM10" s="29">
        <v>120152.87</v>
      </c>
      <c r="CO10" s="29">
        <v>-2695.62</v>
      </c>
      <c r="CQ10" s="29">
        <v>-1380.55</v>
      </c>
      <c r="CS10" s="29">
        <v>-156680.87</v>
      </c>
      <c r="CU10" s="29">
        <v>-111026.29999999999</v>
      </c>
      <c r="CW10" s="29">
        <v>-70366.300000000047</v>
      </c>
      <c r="CY10" s="29"/>
      <c r="DA10" s="29"/>
      <c r="DC10" s="29"/>
      <c r="DD10" s="5"/>
      <c r="DE10" s="29"/>
      <c r="DF10" s="5"/>
      <c r="DG10" s="29"/>
      <c r="DH10" s="5"/>
      <c r="DI10" s="29">
        <f t="shared" si="27"/>
        <v>-36311.01</v>
      </c>
      <c r="DJ10" s="5"/>
      <c r="DK10" s="29">
        <f t="shared" si="28"/>
        <v>-84014.63</v>
      </c>
      <c r="DL10" s="5"/>
      <c r="DM10" s="29">
        <f t="shared" si="28"/>
        <v>-93510.599999999977</v>
      </c>
      <c r="DN10" s="5"/>
      <c r="DO10" s="29">
        <f t="shared" si="28"/>
        <v>-93630.28</v>
      </c>
      <c r="DP10" s="5"/>
      <c r="DQ10" s="29">
        <f t="shared" si="29"/>
        <v>-94863.34</v>
      </c>
      <c r="DR10" s="5"/>
      <c r="DS10" s="29">
        <f t="shared" si="30"/>
        <v>-94286.850000000035</v>
      </c>
      <c r="DT10" s="5"/>
      <c r="DU10" s="29">
        <f t="shared" si="30"/>
        <v>-103120.26999999996</v>
      </c>
      <c r="DV10" s="5"/>
      <c r="DW10" s="29">
        <f t="shared" si="30"/>
        <v>-168095.21000000002</v>
      </c>
      <c r="DX10" s="5"/>
      <c r="DY10" s="29">
        <f t="shared" si="31"/>
        <v>-84967.359999999971</v>
      </c>
      <c r="DZ10" s="5"/>
      <c r="EA10" s="29">
        <f t="shared" si="0"/>
        <v>-104885.60000000003</v>
      </c>
      <c r="EB10" s="5"/>
      <c r="EC10" s="29">
        <f t="shared" si="1"/>
        <v>-117015.96999999997</v>
      </c>
      <c r="ED10" s="5"/>
      <c r="EE10" s="29">
        <f t="shared" si="3"/>
        <v>-97236.029999999984</v>
      </c>
      <c r="EF10" s="5"/>
      <c r="EG10" s="29">
        <f t="shared" si="4"/>
        <v>-74667.840000000011</v>
      </c>
      <c r="EH10" s="5"/>
      <c r="EI10" s="29">
        <f t="shared" si="2"/>
        <v>-55490.830000000016</v>
      </c>
      <c r="EJ10" s="5"/>
      <c r="EK10" s="29">
        <f t="shared" si="2"/>
        <v>-53525.530000000013</v>
      </c>
      <c r="EL10" s="5"/>
      <c r="EM10" s="29">
        <f t="shared" si="5"/>
        <v>-50624.809999999983</v>
      </c>
      <c r="EN10" s="5"/>
      <c r="EO10" s="29">
        <f t="shared" si="6"/>
        <v>-50803.380000000005</v>
      </c>
      <c r="EP10" s="5"/>
      <c r="EQ10" s="29">
        <f t="shared" si="32"/>
        <v>-66517.587999999989</v>
      </c>
      <c r="ER10" s="5"/>
      <c r="ES10" s="29">
        <f t="shared" si="33"/>
        <v>-66081.331999999995</v>
      </c>
      <c r="ET10" s="5"/>
      <c r="EU10" s="29">
        <f t="shared" si="34"/>
        <v>-71775.81</v>
      </c>
      <c r="EV10" s="5"/>
      <c r="EW10" s="29">
        <f t="shared" si="10"/>
        <v>-291200</v>
      </c>
      <c r="EX10" s="5"/>
      <c r="EY10" s="29">
        <f t="shared" si="11"/>
        <v>-60457.00999999998</v>
      </c>
      <c r="EZ10" s="5"/>
      <c r="FA10" s="29">
        <f t="shared" si="11"/>
        <v>-58598.83</v>
      </c>
      <c r="FB10" s="5"/>
      <c r="FC10" s="29">
        <f t="shared" si="11"/>
        <v>-54790.37000000001</v>
      </c>
      <c r="FD10" s="5"/>
      <c r="FE10" s="29">
        <f t="shared" si="12"/>
        <v>-36341.56</v>
      </c>
      <c r="FF10" s="5"/>
      <c r="FG10" s="29">
        <v>-33141.669999999976</v>
      </c>
      <c r="FH10" s="5"/>
      <c r="FI10" s="29">
        <f t="shared" si="13"/>
        <v>-32769.860000000015</v>
      </c>
      <c r="FJ10" s="5"/>
      <c r="FK10" s="29">
        <f t="shared" si="14"/>
        <v>-34441.130000000034</v>
      </c>
      <c r="FL10" s="5"/>
      <c r="FM10" s="29">
        <f t="shared" si="15"/>
        <v>-37883.169999999984</v>
      </c>
      <c r="FN10" s="5"/>
      <c r="FO10" s="29">
        <f t="shared" si="16"/>
        <v>-37883.17</v>
      </c>
      <c r="FP10" s="5"/>
      <c r="FQ10" s="29">
        <f t="shared" si="17"/>
        <v>-96197.759999999995</v>
      </c>
      <c r="FR10" s="5"/>
      <c r="FS10" s="29">
        <f t="shared" si="18"/>
        <v>0</v>
      </c>
      <c r="FT10" s="5"/>
      <c r="FU10" s="29">
        <f t="shared" si="19"/>
        <v>-0.17</v>
      </c>
      <c r="FV10" s="5"/>
      <c r="FW10" s="29">
        <f t="shared" si="19"/>
        <v>0</v>
      </c>
      <c r="FX10" s="5"/>
      <c r="FY10" s="29">
        <f t="shared" si="19"/>
        <v>0</v>
      </c>
      <c r="FZ10" s="5"/>
      <c r="GA10" s="29">
        <f t="shared" si="20"/>
        <v>0</v>
      </c>
      <c r="GB10" s="5"/>
      <c r="GC10" s="29">
        <f t="shared" si="21"/>
        <v>0</v>
      </c>
      <c r="GD10" s="5"/>
      <c r="GE10" s="29">
        <f t="shared" si="21"/>
        <v>0</v>
      </c>
      <c r="GF10" s="5"/>
      <c r="GG10" s="29">
        <f t="shared" si="21"/>
        <v>0</v>
      </c>
      <c r="GH10" s="5"/>
      <c r="GI10" s="29">
        <f t="shared" si="22"/>
        <v>0</v>
      </c>
      <c r="GJ10" s="5"/>
      <c r="GK10" s="29">
        <f t="shared" si="23"/>
        <v>-131719</v>
      </c>
      <c r="GL10" s="5"/>
      <c r="GM10" s="29">
        <f t="shared" si="23"/>
        <v>122848.48999999999</v>
      </c>
      <c r="GN10" s="5"/>
      <c r="GO10" s="29">
        <f t="shared" si="24"/>
        <v>-1315.07</v>
      </c>
      <c r="GP10" s="5"/>
      <c r="GQ10" s="29">
        <f t="shared" si="25"/>
        <v>-1380.55</v>
      </c>
      <c r="GR10" s="5"/>
      <c r="GS10" s="29">
        <f t="shared" si="26"/>
        <v>-45654.570000000007</v>
      </c>
      <c r="GT10" s="5"/>
      <c r="GU10" s="29">
        <f t="shared" si="26"/>
        <v>-40659.999999999942</v>
      </c>
    </row>
    <row r="11" spans="1:203">
      <c r="A11" s="96" t="s">
        <v>319</v>
      </c>
      <c r="C11" s="29"/>
      <c r="E11" s="29"/>
      <c r="G11" s="29"/>
      <c r="I11" s="29">
        <v>356094.67</v>
      </c>
      <c r="K11" s="29">
        <v>1041538.73</v>
      </c>
      <c r="M11" s="29">
        <v>744986.02</v>
      </c>
      <c r="O11" s="29">
        <v>487760.94</v>
      </c>
      <c r="Q11" s="29">
        <v>298149.77</v>
      </c>
      <c r="S11" s="29">
        <v>1140344.21</v>
      </c>
      <c r="U11" s="29">
        <v>728433.29</v>
      </c>
      <c r="W11" s="29">
        <v>473877.02</v>
      </c>
      <c r="Y11" s="29">
        <v>338738.97</v>
      </c>
      <c r="AA11" s="29">
        <v>850009.03</v>
      </c>
      <c r="AC11" s="29">
        <v>521815.24</v>
      </c>
      <c r="AE11" s="29">
        <v>205598.17</v>
      </c>
      <c r="AG11" s="29">
        <v>59828.43</v>
      </c>
      <c r="AI11" s="29">
        <v>181142.71</v>
      </c>
      <c r="AK11" s="29">
        <v>104592.24</v>
      </c>
      <c r="AM11" s="29">
        <v>87778.17</v>
      </c>
      <c r="AO11" s="29">
        <v>51121.36</v>
      </c>
      <c r="AQ11" s="29">
        <v>119384.79</v>
      </c>
      <c r="AS11" s="29">
        <v>87193.54</v>
      </c>
      <c r="AU11" s="29">
        <v>48745.23</v>
      </c>
      <c r="AW11" s="29">
        <v>21000</v>
      </c>
      <c r="AY11" s="29">
        <v>65462.53</v>
      </c>
      <c r="BA11" s="29">
        <v>51026.6</v>
      </c>
      <c r="BC11" s="29">
        <v>18091.28</v>
      </c>
      <c r="BE11" s="29">
        <v>25617.119999999999</v>
      </c>
      <c r="BG11" s="29">
        <v>358708.84</v>
      </c>
      <c r="BI11" s="29">
        <v>227478.48000000004</v>
      </c>
      <c r="BK11" s="29">
        <v>201617.67</v>
      </c>
      <c r="BM11" s="29">
        <v>182480.74</v>
      </c>
      <c r="BO11" s="29">
        <v>142261.26999999996</v>
      </c>
      <c r="BQ11" s="29">
        <v>83814.539999999994</v>
      </c>
      <c r="BS11" s="29">
        <v>-9572.1700000000019</v>
      </c>
      <c r="BU11" s="29">
        <v>293011.03999999998</v>
      </c>
      <c r="BW11" s="29">
        <v>217426.32</v>
      </c>
      <c r="BY11" s="29">
        <v>148208.58000000002</v>
      </c>
      <c r="CA11" s="29">
        <v>71058.720000000001</v>
      </c>
      <c r="CC11" s="29">
        <v>479038.27999999997</v>
      </c>
      <c r="CE11" s="29">
        <v>0</v>
      </c>
      <c r="CG11" s="29">
        <v>268055.78000000003</v>
      </c>
      <c r="CI11" s="29">
        <v>146453.9</v>
      </c>
      <c r="CK11" s="29">
        <v>443442.28999999986</v>
      </c>
      <c r="CM11" s="29">
        <v>468187.07</v>
      </c>
      <c r="CO11" s="29">
        <v>329586.78999999998</v>
      </c>
      <c r="CQ11" s="29">
        <v>210566.19</v>
      </c>
      <c r="CS11" s="29">
        <v>597321.68999999994</v>
      </c>
      <c r="CU11" s="29">
        <v>452844.38</v>
      </c>
      <c r="CW11" s="29">
        <v>317835.40000000002</v>
      </c>
      <c r="CY11" s="29"/>
      <c r="DA11" s="29"/>
      <c r="DC11" s="29"/>
      <c r="DD11" s="5"/>
      <c r="DE11" s="29"/>
      <c r="DF11" s="5"/>
      <c r="DG11" s="29"/>
      <c r="DH11" s="5"/>
      <c r="DI11" s="29">
        <f t="shared" si="27"/>
        <v>356094.67</v>
      </c>
      <c r="DJ11" s="5"/>
      <c r="DK11" s="29">
        <f t="shared" si="28"/>
        <v>296552.70999999996</v>
      </c>
      <c r="DL11" s="5"/>
      <c r="DM11" s="29">
        <f t="shared" si="28"/>
        <v>257225.08000000002</v>
      </c>
      <c r="DN11" s="5"/>
      <c r="DO11" s="29">
        <f t="shared" si="28"/>
        <v>189611.16999999998</v>
      </c>
      <c r="DP11" s="5"/>
      <c r="DQ11" s="29">
        <f t="shared" si="29"/>
        <v>298149.77</v>
      </c>
      <c r="DR11" s="5"/>
      <c r="DS11" s="29">
        <f t="shared" si="30"/>
        <v>411910.91999999993</v>
      </c>
      <c r="DT11" s="5"/>
      <c r="DU11" s="29">
        <f t="shared" si="30"/>
        <v>254556.27000000002</v>
      </c>
      <c r="DV11" s="5"/>
      <c r="DW11" s="29">
        <f t="shared" si="30"/>
        <v>135138.05000000005</v>
      </c>
      <c r="DX11" s="5"/>
      <c r="DY11" s="29">
        <f t="shared" si="31"/>
        <v>338738.97</v>
      </c>
      <c r="DZ11" s="5"/>
      <c r="EA11" s="29">
        <f t="shared" si="0"/>
        <v>328193.79000000004</v>
      </c>
      <c r="EB11" s="5"/>
      <c r="EC11" s="29">
        <f t="shared" si="1"/>
        <v>316217.06999999995</v>
      </c>
      <c r="ED11" s="5"/>
      <c r="EE11" s="29">
        <f t="shared" si="3"/>
        <v>145769.74000000002</v>
      </c>
      <c r="EF11" s="5"/>
      <c r="EG11" s="29">
        <f t="shared" si="4"/>
        <v>59828.43</v>
      </c>
      <c r="EH11" s="5"/>
      <c r="EI11" s="29">
        <f t="shared" si="2"/>
        <v>76550.469999999987</v>
      </c>
      <c r="EJ11" s="5"/>
      <c r="EK11" s="29">
        <f t="shared" si="2"/>
        <v>16814.070000000007</v>
      </c>
      <c r="EL11" s="5"/>
      <c r="EM11" s="29">
        <f t="shared" si="5"/>
        <v>36656.81</v>
      </c>
      <c r="EN11" s="5"/>
      <c r="EO11" s="29">
        <f t="shared" si="6"/>
        <v>51121.36</v>
      </c>
      <c r="EP11" s="5"/>
      <c r="EQ11" s="29">
        <f t="shared" si="32"/>
        <v>32191.25</v>
      </c>
      <c r="ER11" s="5"/>
      <c r="ES11" s="29">
        <f t="shared" si="33"/>
        <v>38448.30999999999</v>
      </c>
      <c r="ET11" s="5"/>
      <c r="EU11" s="29">
        <f t="shared" si="34"/>
        <v>27745.230000000003</v>
      </c>
      <c r="EV11" s="5"/>
      <c r="EW11" s="29">
        <f t="shared" si="10"/>
        <v>21000</v>
      </c>
      <c r="EX11" s="5"/>
      <c r="EY11" s="29">
        <f t="shared" si="11"/>
        <v>14435.93</v>
      </c>
      <c r="EZ11" s="5"/>
      <c r="FA11" s="29">
        <f t="shared" si="11"/>
        <v>32935.32</v>
      </c>
      <c r="FB11" s="5"/>
      <c r="FC11" s="29">
        <f t="shared" si="11"/>
        <v>-7525.84</v>
      </c>
      <c r="FD11" s="5"/>
      <c r="FE11" s="29">
        <f t="shared" si="12"/>
        <v>25617.119999999999</v>
      </c>
      <c r="FF11" s="5"/>
      <c r="FG11" s="29">
        <v>131230.35999999996</v>
      </c>
      <c r="FH11" s="5"/>
      <c r="FI11" s="29">
        <f t="shared" si="13"/>
        <v>25860.810000000027</v>
      </c>
      <c r="FJ11" s="5"/>
      <c r="FK11" s="29">
        <f t="shared" si="14"/>
        <v>19136.930000000022</v>
      </c>
      <c r="FL11" s="5"/>
      <c r="FM11" s="29">
        <f t="shared" si="15"/>
        <v>40219.47000000003</v>
      </c>
      <c r="FN11" s="5"/>
      <c r="FO11" s="29">
        <f t="shared" si="16"/>
        <v>58446.729999999967</v>
      </c>
      <c r="FP11" s="5"/>
      <c r="FQ11" s="29">
        <f t="shared" si="17"/>
        <v>93386.709999999992</v>
      </c>
      <c r="FR11" s="5"/>
      <c r="FS11" s="29">
        <f t="shared" si="18"/>
        <v>-9572.1700000000019</v>
      </c>
      <c r="FT11" s="5"/>
      <c r="FU11" s="29">
        <f t="shared" si="19"/>
        <v>75584.719999999972</v>
      </c>
      <c r="FV11" s="5"/>
      <c r="FW11" s="29">
        <f t="shared" si="19"/>
        <v>69217.739999999991</v>
      </c>
      <c r="FX11" s="5"/>
      <c r="FY11" s="29">
        <f t="shared" si="19"/>
        <v>77149.860000000015</v>
      </c>
      <c r="FZ11" s="5"/>
      <c r="GA11" s="29">
        <f t="shared" si="20"/>
        <v>71058.720000000001</v>
      </c>
      <c r="GB11" s="5"/>
      <c r="GC11" s="29">
        <f t="shared" si="21"/>
        <v>479038.27999999997</v>
      </c>
      <c r="GD11" s="5"/>
      <c r="GE11" s="29">
        <f t="shared" si="21"/>
        <v>-268055.78000000003</v>
      </c>
      <c r="GF11" s="5"/>
      <c r="GG11" s="29">
        <f t="shared" si="21"/>
        <v>121601.88000000003</v>
      </c>
      <c r="GH11" s="5"/>
      <c r="GI11" s="29">
        <f t="shared" si="22"/>
        <v>146453.9</v>
      </c>
      <c r="GJ11" s="5"/>
      <c r="GK11" s="29">
        <f t="shared" si="23"/>
        <v>-24744.780000000144</v>
      </c>
      <c r="GL11" s="5"/>
      <c r="GM11" s="29">
        <f t="shared" si="23"/>
        <v>138600.28000000003</v>
      </c>
      <c r="GN11" s="5"/>
      <c r="GO11" s="29">
        <f t="shared" si="24"/>
        <v>119020.59999999998</v>
      </c>
      <c r="GP11" s="5"/>
      <c r="GQ11" s="29">
        <f t="shared" si="25"/>
        <v>210566.19</v>
      </c>
      <c r="GR11" s="5"/>
      <c r="GS11" s="29">
        <f t="shared" si="26"/>
        <v>144477.30999999994</v>
      </c>
      <c r="GT11" s="5"/>
      <c r="GU11" s="29">
        <f t="shared" si="26"/>
        <v>135008.97999999998</v>
      </c>
    </row>
    <row r="12" spans="1:203">
      <c r="A12" s="96" t="s">
        <v>94</v>
      </c>
      <c r="C12" s="29"/>
      <c r="E12" s="29"/>
      <c r="G12" s="29"/>
      <c r="I12" s="29">
        <v>0</v>
      </c>
      <c r="K12" s="29">
        <v>-25827283.84</v>
      </c>
      <c r="M12" s="29">
        <v>-23436000</v>
      </c>
      <c r="O12" s="29">
        <v>-23436000</v>
      </c>
      <c r="Q12" s="29">
        <v>0</v>
      </c>
      <c r="S12" s="29">
        <v>-2143900</v>
      </c>
      <c r="U12" s="29">
        <v>-2143900</v>
      </c>
      <c r="W12" s="29">
        <v>0</v>
      </c>
      <c r="Y12" s="29">
        <v>0</v>
      </c>
      <c r="AA12" s="29">
        <v>0</v>
      </c>
      <c r="AC12" s="29">
        <v>0</v>
      </c>
      <c r="AE12" s="29">
        <v>0</v>
      </c>
      <c r="AG12" s="29">
        <v>0</v>
      </c>
      <c r="AI12" s="29">
        <v>0</v>
      </c>
      <c r="AK12" s="29">
        <v>0</v>
      </c>
      <c r="AM12" s="29">
        <v>0</v>
      </c>
      <c r="AO12" s="29">
        <v>0</v>
      </c>
      <c r="AQ12" s="29">
        <v>0</v>
      </c>
      <c r="AS12" s="29">
        <v>0</v>
      </c>
      <c r="AU12" s="29">
        <v>0</v>
      </c>
      <c r="AW12" s="29">
        <v>0</v>
      </c>
      <c r="AY12" s="29">
        <v>0</v>
      </c>
      <c r="BA12" s="29">
        <v>0</v>
      </c>
      <c r="BC12" s="29">
        <v>0</v>
      </c>
      <c r="BE12" s="29">
        <v>0</v>
      </c>
      <c r="BG12" s="29">
        <v>0</v>
      </c>
      <c r="BI12" s="29">
        <v>0</v>
      </c>
      <c r="BK12" s="29">
        <v>0</v>
      </c>
      <c r="BM12" s="29">
        <v>0</v>
      </c>
      <c r="BO12" s="29">
        <v>0</v>
      </c>
      <c r="BQ12" s="29">
        <v>0</v>
      </c>
      <c r="BS12" s="29">
        <v>0</v>
      </c>
      <c r="BU12" s="29">
        <v>0</v>
      </c>
      <c r="BW12" s="29">
        <v>0</v>
      </c>
      <c r="BY12" s="29">
        <v>0</v>
      </c>
      <c r="CA12" s="29">
        <v>0</v>
      </c>
      <c r="CC12" s="29">
        <v>0</v>
      </c>
      <c r="CE12" s="29">
        <v>378974.19</v>
      </c>
      <c r="CG12" s="29">
        <v>0</v>
      </c>
      <c r="CI12" s="29">
        <v>0</v>
      </c>
      <c r="CK12" s="29">
        <v>0</v>
      </c>
      <c r="CM12" s="29">
        <v>0</v>
      </c>
      <c r="CO12" s="29">
        <v>0</v>
      </c>
      <c r="CQ12" s="29">
        <v>0</v>
      </c>
      <c r="CS12" s="29">
        <v>0</v>
      </c>
      <c r="CU12" s="29">
        <v>0</v>
      </c>
      <c r="CW12" s="29">
        <v>0</v>
      </c>
      <c r="CY12" s="29"/>
      <c r="DA12" s="29"/>
      <c r="DC12" s="29"/>
      <c r="DD12" s="5"/>
      <c r="DE12" s="29"/>
      <c r="DF12" s="5"/>
      <c r="DG12" s="29"/>
      <c r="DH12" s="5"/>
      <c r="DI12" s="29">
        <f t="shared" si="27"/>
        <v>0</v>
      </c>
      <c r="DJ12" s="5"/>
      <c r="DK12" s="29">
        <f t="shared" si="28"/>
        <v>-2391283.84</v>
      </c>
      <c r="DL12" s="5"/>
      <c r="DM12" s="29">
        <f t="shared" si="28"/>
        <v>0</v>
      </c>
      <c r="DN12" s="5"/>
      <c r="DO12" s="29">
        <f t="shared" si="28"/>
        <v>-23436000</v>
      </c>
      <c r="DP12" s="5"/>
      <c r="DQ12" s="29">
        <f t="shared" si="29"/>
        <v>0</v>
      </c>
      <c r="DR12" s="5"/>
      <c r="DS12" s="29">
        <f t="shared" si="30"/>
        <v>0</v>
      </c>
      <c r="DT12" s="5"/>
      <c r="DU12" s="29">
        <f t="shared" si="30"/>
        <v>-2143900</v>
      </c>
      <c r="DV12" s="5"/>
      <c r="DW12" s="29">
        <f t="shared" si="30"/>
        <v>0</v>
      </c>
      <c r="DX12" s="5"/>
      <c r="DY12" s="29">
        <f t="shared" si="31"/>
        <v>0</v>
      </c>
      <c r="DZ12" s="5"/>
      <c r="EA12" s="29">
        <f t="shared" si="0"/>
        <v>0</v>
      </c>
      <c r="EB12" s="5"/>
      <c r="EC12" s="29">
        <f t="shared" si="1"/>
        <v>0</v>
      </c>
      <c r="ED12" s="5"/>
      <c r="EE12" s="29">
        <f t="shared" si="3"/>
        <v>0</v>
      </c>
      <c r="EF12" s="5"/>
      <c r="EG12" s="29">
        <f t="shared" si="4"/>
        <v>0</v>
      </c>
      <c r="EH12" s="5"/>
      <c r="EI12" s="29">
        <f t="shared" si="2"/>
        <v>0</v>
      </c>
      <c r="EJ12" s="5"/>
      <c r="EK12" s="29">
        <f t="shared" si="2"/>
        <v>0</v>
      </c>
      <c r="EL12" s="5"/>
      <c r="EM12" s="29">
        <f t="shared" si="5"/>
        <v>0</v>
      </c>
      <c r="EN12" s="5"/>
      <c r="EO12" s="29">
        <f t="shared" si="6"/>
        <v>0</v>
      </c>
      <c r="EP12" s="5"/>
      <c r="EQ12" s="29">
        <f t="shared" si="32"/>
        <v>0</v>
      </c>
      <c r="ER12" s="5"/>
      <c r="ES12" s="29">
        <f t="shared" si="33"/>
        <v>0</v>
      </c>
      <c r="ET12" s="5"/>
      <c r="EU12" s="29">
        <f t="shared" si="34"/>
        <v>0</v>
      </c>
      <c r="EV12" s="5"/>
      <c r="EW12" s="29">
        <f t="shared" si="10"/>
        <v>0</v>
      </c>
      <c r="EX12" s="5"/>
      <c r="EY12" s="29">
        <f t="shared" si="11"/>
        <v>0</v>
      </c>
      <c r="EZ12" s="5"/>
      <c r="FA12" s="29">
        <f t="shared" si="11"/>
        <v>0</v>
      </c>
      <c r="FB12" s="5"/>
      <c r="FC12" s="29">
        <f t="shared" si="11"/>
        <v>0</v>
      </c>
      <c r="FD12" s="5"/>
      <c r="FE12" s="29">
        <f t="shared" si="12"/>
        <v>0</v>
      </c>
      <c r="FF12" s="5"/>
      <c r="FG12" s="29">
        <v>0</v>
      </c>
      <c r="FH12" s="5"/>
      <c r="FI12" s="29">
        <f t="shared" si="13"/>
        <v>0</v>
      </c>
      <c r="FJ12" s="5"/>
      <c r="FK12" s="29">
        <f t="shared" si="14"/>
        <v>0</v>
      </c>
      <c r="FL12" s="5"/>
      <c r="FM12" s="29">
        <f t="shared" si="15"/>
        <v>0</v>
      </c>
      <c r="FN12" s="5"/>
      <c r="FO12" s="29">
        <f t="shared" si="16"/>
        <v>0</v>
      </c>
      <c r="FP12" s="5"/>
      <c r="FQ12" s="29">
        <f t="shared" si="17"/>
        <v>0</v>
      </c>
      <c r="FR12" s="5"/>
      <c r="FS12" s="29">
        <f t="shared" si="18"/>
        <v>0</v>
      </c>
      <c r="FT12" s="5"/>
      <c r="FU12" s="29">
        <f t="shared" si="19"/>
        <v>0</v>
      </c>
      <c r="FV12" s="5"/>
      <c r="FW12" s="29">
        <f t="shared" si="19"/>
        <v>0</v>
      </c>
      <c r="FX12" s="5"/>
      <c r="FY12" s="29">
        <f t="shared" si="19"/>
        <v>0</v>
      </c>
      <c r="FZ12" s="5"/>
      <c r="GA12" s="29">
        <f t="shared" si="20"/>
        <v>0</v>
      </c>
      <c r="GB12" s="5"/>
      <c r="GC12" s="29">
        <f t="shared" si="21"/>
        <v>-378974.19</v>
      </c>
      <c r="GD12" s="5"/>
      <c r="GE12" s="29">
        <f t="shared" si="21"/>
        <v>378974.19</v>
      </c>
      <c r="GF12" s="5"/>
      <c r="GG12" s="29">
        <f t="shared" si="21"/>
        <v>0</v>
      </c>
      <c r="GH12" s="5"/>
      <c r="GI12" s="29">
        <f t="shared" si="22"/>
        <v>0</v>
      </c>
      <c r="GJ12" s="5"/>
      <c r="GK12" s="29">
        <f t="shared" si="23"/>
        <v>0</v>
      </c>
      <c r="GL12" s="5"/>
      <c r="GM12" s="29">
        <f t="shared" si="23"/>
        <v>0</v>
      </c>
      <c r="GN12" s="5"/>
      <c r="GO12" s="29">
        <f t="shared" si="24"/>
        <v>0</v>
      </c>
      <c r="GP12" s="5"/>
      <c r="GQ12" s="29">
        <f t="shared" si="25"/>
        <v>0</v>
      </c>
      <c r="GR12" s="5"/>
      <c r="GS12" s="29">
        <f t="shared" si="26"/>
        <v>0</v>
      </c>
      <c r="GT12" s="5"/>
      <c r="GU12" s="29">
        <f t="shared" si="26"/>
        <v>0</v>
      </c>
    </row>
    <row r="13" spans="1:203">
      <c r="A13" s="96" t="s">
        <v>95</v>
      </c>
      <c r="C13" s="29"/>
      <c r="E13" s="29"/>
      <c r="G13" s="29"/>
      <c r="I13" s="29">
        <v>66247.999999999767</v>
      </c>
      <c r="K13" s="29">
        <v>883930.46</v>
      </c>
      <c r="M13" s="29">
        <v>770454.46000000008</v>
      </c>
      <c r="O13" s="29">
        <v>709356.71</v>
      </c>
      <c r="Q13" s="29">
        <v>0</v>
      </c>
      <c r="S13" s="29">
        <v>641700</v>
      </c>
      <c r="U13" s="29">
        <v>641700</v>
      </c>
      <c r="W13" s="29">
        <v>641700</v>
      </c>
      <c r="Y13" s="29">
        <v>0</v>
      </c>
      <c r="AA13" s="29">
        <v>-219938.01</v>
      </c>
      <c r="AC13" s="29">
        <v>-223933.01</v>
      </c>
      <c r="AE13" s="29">
        <v>-223933.01</v>
      </c>
      <c r="AG13" s="29">
        <v>-223933.01</v>
      </c>
      <c r="AI13" s="29">
        <v>30524.31</v>
      </c>
      <c r="AK13" s="29">
        <v>6881.59</v>
      </c>
      <c r="AM13" s="29">
        <v>1840.62</v>
      </c>
      <c r="AO13" s="29">
        <v>0</v>
      </c>
      <c r="AQ13" s="29">
        <v>77542.66</v>
      </c>
      <c r="AS13" s="29">
        <v>9155.92</v>
      </c>
      <c r="AU13" s="29">
        <v>7019.19</v>
      </c>
      <c r="AW13" s="29">
        <v>0</v>
      </c>
      <c r="AY13" s="29">
        <v>219709.8</v>
      </c>
      <c r="BA13" s="29">
        <v>43944.45</v>
      </c>
      <c r="BC13" s="29">
        <v>43944.45</v>
      </c>
      <c r="BE13" s="29">
        <v>14448.539999999999</v>
      </c>
      <c r="BG13" s="29">
        <v>-173545.57999999984</v>
      </c>
      <c r="BI13" s="29">
        <v>-272576.77999999985</v>
      </c>
      <c r="BK13" s="29">
        <v>-216013.85999999996</v>
      </c>
      <c r="BM13" s="29">
        <v>-216013.85999999996</v>
      </c>
      <c r="BO13" s="29">
        <v>-297474.96000000008</v>
      </c>
      <c r="BQ13" s="29">
        <v>-232743.50000000009</v>
      </c>
      <c r="BS13" s="29">
        <v>-89384.8</v>
      </c>
      <c r="BU13" s="29">
        <v>-812706.89999999991</v>
      </c>
      <c r="BW13" s="29">
        <v>-81856.100000000049</v>
      </c>
      <c r="BY13" s="29">
        <v>-78856.100000000049</v>
      </c>
      <c r="CA13" s="29">
        <v>-81.3</v>
      </c>
      <c r="CC13" s="29">
        <v>-212138.84</v>
      </c>
      <c r="CE13" s="29">
        <v>0</v>
      </c>
      <c r="CG13" s="29">
        <v>0</v>
      </c>
      <c r="CI13" s="29">
        <v>0</v>
      </c>
      <c r="CK13" s="29">
        <v>-122719.11</v>
      </c>
      <c r="CM13" s="29">
        <v>-64886.610000000008</v>
      </c>
      <c r="CO13" s="29">
        <v>-5790.3999999999942</v>
      </c>
      <c r="CQ13" s="29">
        <v>-8446.26</v>
      </c>
      <c r="CS13" s="29">
        <v>-96463.17</v>
      </c>
      <c r="CU13" s="29">
        <v>-16540.650000000001</v>
      </c>
      <c r="CW13" s="29">
        <v>-16540.650000000001</v>
      </c>
      <c r="CY13" s="29"/>
      <c r="DA13" s="29"/>
      <c r="DC13" s="29"/>
      <c r="DD13" s="5"/>
      <c r="DE13" s="29"/>
      <c r="DF13" s="5"/>
      <c r="DG13" s="29"/>
      <c r="DH13" s="5"/>
      <c r="DI13" s="29">
        <f t="shared" si="27"/>
        <v>66247.999999999767</v>
      </c>
      <c r="DJ13" s="5"/>
      <c r="DK13" s="29">
        <f t="shared" si="28"/>
        <v>113475.99999999988</v>
      </c>
      <c r="DL13" s="5"/>
      <c r="DM13" s="29">
        <f t="shared" si="28"/>
        <v>61097.750000000116</v>
      </c>
      <c r="DN13" s="5"/>
      <c r="DO13" s="29">
        <f t="shared" si="28"/>
        <v>709356.71</v>
      </c>
      <c r="DP13" s="5"/>
      <c r="DQ13" s="29">
        <f t="shared" si="29"/>
        <v>0</v>
      </c>
      <c r="DR13" s="5"/>
      <c r="DS13" s="29">
        <f t="shared" si="30"/>
        <v>0</v>
      </c>
      <c r="DT13" s="5"/>
      <c r="DU13" s="29">
        <f t="shared" si="30"/>
        <v>0</v>
      </c>
      <c r="DV13" s="5"/>
      <c r="DW13" s="29">
        <f t="shared" si="30"/>
        <v>641700</v>
      </c>
      <c r="DX13" s="5"/>
      <c r="DY13" s="29">
        <f t="shared" si="31"/>
        <v>0</v>
      </c>
      <c r="DZ13" s="5"/>
      <c r="EA13" s="29">
        <f t="shared" si="0"/>
        <v>3995</v>
      </c>
      <c r="EB13" s="5"/>
      <c r="EC13" s="29">
        <f t="shared" si="1"/>
        <v>0</v>
      </c>
      <c r="ED13" s="5"/>
      <c r="EE13" s="29">
        <f t="shared" si="3"/>
        <v>0</v>
      </c>
      <c r="EF13" s="5"/>
      <c r="EG13" s="29">
        <f t="shared" si="4"/>
        <v>-223933.01</v>
      </c>
      <c r="EH13" s="5"/>
      <c r="EI13" s="29">
        <f t="shared" si="2"/>
        <v>23642.720000000001</v>
      </c>
      <c r="EJ13" s="5"/>
      <c r="EK13" s="29">
        <f t="shared" si="2"/>
        <v>5040.97</v>
      </c>
      <c r="EL13" s="5"/>
      <c r="EM13" s="29">
        <f t="shared" si="5"/>
        <v>1840.62</v>
      </c>
      <c r="EN13" s="5"/>
      <c r="EO13" s="29">
        <f t="shared" si="6"/>
        <v>0</v>
      </c>
      <c r="EP13" s="5"/>
      <c r="EQ13" s="29">
        <f t="shared" si="32"/>
        <v>68386.740000000005</v>
      </c>
      <c r="ER13" s="5"/>
      <c r="ES13" s="29">
        <f t="shared" si="33"/>
        <v>2136.7300000000005</v>
      </c>
      <c r="ET13" s="5"/>
      <c r="EU13" s="29">
        <f t="shared" si="34"/>
        <v>7019.19</v>
      </c>
      <c r="EV13" s="5"/>
      <c r="EW13" s="29">
        <f t="shared" si="10"/>
        <v>0</v>
      </c>
      <c r="EX13" s="5"/>
      <c r="EY13" s="29">
        <f t="shared" si="11"/>
        <v>175765.34999999998</v>
      </c>
      <c r="EZ13" s="5"/>
      <c r="FA13" s="29">
        <f t="shared" si="11"/>
        <v>0</v>
      </c>
      <c r="FB13" s="5"/>
      <c r="FC13" s="29">
        <f t="shared" si="11"/>
        <v>29495.909999999996</v>
      </c>
      <c r="FD13" s="5"/>
      <c r="FE13" s="29">
        <f t="shared" si="12"/>
        <v>14448.539999999999</v>
      </c>
      <c r="FF13" s="5"/>
      <c r="FG13" s="29">
        <v>99031.200000000041</v>
      </c>
      <c r="FH13" s="5"/>
      <c r="FI13" s="29">
        <f t="shared" si="13"/>
        <v>-56562.919999999896</v>
      </c>
      <c r="FJ13" s="5"/>
      <c r="FK13" s="29">
        <f t="shared" si="14"/>
        <v>0</v>
      </c>
      <c r="FL13" s="5"/>
      <c r="FM13" s="29">
        <f t="shared" si="15"/>
        <v>81461.100000000122</v>
      </c>
      <c r="FN13" s="5"/>
      <c r="FO13" s="29">
        <f t="shared" si="16"/>
        <v>-64731.459999999992</v>
      </c>
      <c r="FP13" s="5"/>
      <c r="FQ13" s="29">
        <f t="shared" si="17"/>
        <v>-143358.70000000007</v>
      </c>
      <c r="FR13" s="5"/>
      <c r="FS13" s="29">
        <f t="shared" si="18"/>
        <v>-89384.8</v>
      </c>
      <c r="FT13" s="5"/>
      <c r="FU13" s="29">
        <f t="shared" si="19"/>
        <v>-730850.79999999981</v>
      </c>
      <c r="FV13" s="5"/>
      <c r="FW13" s="29">
        <f t="shared" si="19"/>
        <v>-3000</v>
      </c>
      <c r="FX13" s="5"/>
      <c r="FY13" s="29">
        <f t="shared" si="19"/>
        <v>-78774.800000000047</v>
      </c>
      <c r="FZ13" s="5"/>
      <c r="GA13" s="29">
        <f t="shared" si="20"/>
        <v>-81.3</v>
      </c>
      <c r="GB13" s="5"/>
      <c r="GC13" s="29">
        <f t="shared" si="21"/>
        <v>-212138.84</v>
      </c>
      <c r="GD13" s="5"/>
      <c r="GE13" s="29">
        <f t="shared" si="21"/>
        <v>0</v>
      </c>
      <c r="GF13" s="5"/>
      <c r="GG13" s="29">
        <f t="shared" si="21"/>
        <v>0</v>
      </c>
      <c r="GH13" s="5"/>
      <c r="GI13" s="29">
        <f t="shared" si="22"/>
        <v>0</v>
      </c>
      <c r="GJ13" s="5"/>
      <c r="GK13" s="29">
        <f t="shared" si="23"/>
        <v>-57832.499999999993</v>
      </c>
      <c r="GL13" s="5"/>
      <c r="GM13" s="29">
        <f t="shared" si="23"/>
        <v>-59096.210000000014</v>
      </c>
      <c r="GN13" s="5"/>
      <c r="GO13" s="29">
        <f t="shared" si="24"/>
        <v>2655.860000000006</v>
      </c>
      <c r="GP13" s="5"/>
      <c r="GQ13" s="29">
        <f t="shared" si="25"/>
        <v>-8446.26</v>
      </c>
      <c r="GR13" s="5"/>
      <c r="GS13" s="29">
        <f t="shared" si="26"/>
        <v>-79922.51999999999</v>
      </c>
      <c r="GT13" s="5"/>
      <c r="GU13" s="29">
        <f t="shared" si="26"/>
        <v>0</v>
      </c>
    </row>
    <row r="14" spans="1:203">
      <c r="A14" s="96" t="s">
        <v>96</v>
      </c>
      <c r="C14" s="29"/>
      <c r="E14" s="29"/>
      <c r="G14" s="29"/>
      <c r="I14" s="29">
        <v>-15546323.480000002</v>
      </c>
      <c r="K14" s="29">
        <v>9415152.5</v>
      </c>
      <c r="M14" s="29">
        <v>3305541.26</v>
      </c>
      <c r="O14" s="29">
        <v>-2489512.9599999972</v>
      </c>
      <c r="Q14" s="29">
        <v>4672380.8599999994</v>
      </c>
      <c r="S14" s="29">
        <v>16817135.359999999</v>
      </c>
      <c r="U14" s="29">
        <v>8298354.2199999988</v>
      </c>
      <c r="W14" s="29">
        <v>7632251.0499999989</v>
      </c>
      <c r="Y14" s="29">
        <v>26208293.330000002</v>
      </c>
      <c r="AA14" s="29">
        <v>-29945176.66</v>
      </c>
      <c r="AC14" s="29">
        <v>-17683433.5</v>
      </c>
      <c r="AE14" s="29">
        <v>-7281295.6299999999</v>
      </c>
      <c r="AG14" s="29">
        <v>-13490694.779999999</v>
      </c>
      <c r="AI14" s="29">
        <v>2940936.3</v>
      </c>
      <c r="AK14" s="29">
        <v>-5120700.58</v>
      </c>
      <c r="AM14" s="29">
        <v>2833230.9299999997</v>
      </c>
      <c r="AO14" s="29">
        <v>-538018.66999999946</v>
      </c>
      <c r="AQ14" s="29">
        <v>-2946249.09</v>
      </c>
      <c r="AS14" s="29">
        <v>535245.41999999969</v>
      </c>
      <c r="AU14" s="29">
        <v>-7248750.3000000007</v>
      </c>
      <c r="AW14" s="29">
        <v>-15865095.709999999</v>
      </c>
      <c r="AY14" s="29">
        <v>1886065.2999999998</v>
      </c>
      <c r="BA14" s="29">
        <v>-467483.86000000074</v>
      </c>
      <c r="BC14" s="29">
        <v>265460.64999999944</v>
      </c>
      <c r="BE14" s="29">
        <v>658327.2099999995</v>
      </c>
      <c r="BG14" s="29">
        <v>397606.37999999966</v>
      </c>
      <c r="BI14" s="29">
        <v>566252.09999999963</v>
      </c>
      <c r="BK14" s="29">
        <v>586155.21999999974</v>
      </c>
      <c r="BM14" s="29">
        <v>531669.96999999974</v>
      </c>
      <c r="BO14" s="29">
        <v>2497524.1599999992</v>
      </c>
      <c r="BQ14" s="29">
        <v>1927209.4599999995</v>
      </c>
      <c r="BS14" s="29">
        <v>-377043.17000000086</v>
      </c>
      <c r="BU14" s="29">
        <v>-825071.48999999976</v>
      </c>
      <c r="BW14" s="29">
        <v>-1001669.7099999995</v>
      </c>
      <c r="BY14" s="29">
        <v>-196785.98999999976</v>
      </c>
      <c r="CA14" s="29">
        <v>-112010.42000000039</v>
      </c>
      <c r="CC14" s="29">
        <v>-2163342.92</v>
      </c>
      <c r="CE14" s="29">
        <v>0</v>
      </c>
      <c r="CG14" s="29">
        <v>-2221810.34</v>
      </c>
      <c r="CI14" s="29">
        <v>-1437690.4400000002</v>
      </c>
      <c r="CK14" s="29">
        <v>-804558.34000000008</v>
      </c>
      <c r="CM14" s="29">
        <v>-275754.68000000017</v>
      </c>
      <c r="CO14" s="29">
        <v>-160105.53000000003</v>
      </c>
      <c r="CQ14" s="29">
        <v>-179232.13000000012</v>
      </c>
      <c r="CS14" s="29">
        <v>720031.4600000002</v>
      </c>
      <c r="CU14" s="29">
        <v>-3148640.05</v>
      </c>
      <c r="CW14" s="29">
        <v>-3862372.9299999997</v>
      </c>
      <c r="CY14" s="29"/>
      <c r="DA14" s="29"/>
      <c r="DC14" s="29"/>
      <c r="DD14" s="5"/>
      <c r="DE14" s="29"/>
      <c r="DF14" s="5"/>
      <c r="DG14" s="29"/>
      <c r="DH14" s="5"/>
      <c r="DI14" s="29">
        <f t="shared" si="27"/>
        <v>-15546323.480000002</v>
      </c>
      <c r="DJ14" s="5"/>
      <c r="DK14" s="29">
        <f t="shared" si="28"/>
        <v>6109611.2400000002</v>
      </c>
      <c r="DL14" s="5"/>
      <c r="DM14" s="29">
        <f t="shared" si="28"/>
        <v>5795054.2199999969</v>
      </c>
      <c r="DN14" s="5"/>
      <c r="DO14" s="29">
        <f t="shared" si="28"/>
        <v>-7161893.8199999966</v>
      </c>
      <c r="DP14" s="5"/>
      <c r="DQ14" s="29">
        <f t="shared" si="29"/>
        <v>4672380.8599999994</v>
      </c>
      <c r="DR14" s="5"/>
      <c r="DS14" s="29">
        <f t="shared" si="30"/>
        <v>8518781.1400000006</v>
      </c>
      <c r="DT14" s="5"/>
      <c r="DU14" s="29">
        <f t="shared" si="30"/>
        <v>666103.16999999993</v>
      </c>
      <c r="DV14" s="5"/>
      <c r="DW14" s="29">
        <f t="shared" si="30"/>
        <v>-18576042.280000001</v>
      </c>
      <c r="DX14" s="5"/>
      <c r="DY14" s="29">
        <f t="shared" si="31"/>
        <v>26208293.330000002</v>
      </c>
      <c r="DZ14" s="5"/>
      <c r="EA14" s="29">
        <f t="shared" si="0"/>
        <v>-12261743.16</v>
      </c>
      <c r="EB14" s="5"/>
      <c r="EC14" s="29">
        <f t="shared" si="1"/>
        <v>-10402137.870000001</v>
      </c>
      <c r="ED14" s="5"/>
      <c r="EE14" s="29">
        <f t="shared" si="3"/>
        <v>6209399.1499999994</v>
      </c>
      <c r="EF14" s="5"/>
      <c r="EG14" s="29">
        <f t="shared" si="4"/>
        <v>-13490694.779999999</v>
      </c>
      <c r="EH14" s="5"/>
      <c r="EI14" s="29">
        <f t="shared" si="2"/>
        <v>8061636.8799999999</v>
      </c>
      <c r="EJ14" s="5"/>
      <c r="EK14" s="29">
        <f t="shared" si="2"/>
        <v>-7953931.5099999998</v>
      </c>
      <c r="EL14" s="5"/>
      <c r="EM14" s="29">
        <f t="shared" si="5"/>
        <v>3371249.5999999992</v>
      </c>
      <c r="EN14" s="5"/>
      <c r="EO14" s="29">
        <f t="shared" si="6"/>
        <v>-538018.66999999946</v>
      </c>
      <c r="EP14" s="5"/>
      <c r="EQ14" s="29">
        <f t="shared" si="32"/>
        <v>-3481494.51</v>
      </c>
      <c r="ER14" s="5"/>
      <c r="ES14" s="29">
        <f t="shared" si="33"/>
        <v>7783995.7200000007</v>
      </c>
      <c r="ET14" s="5"/>
      <c r="EU14" s="29">
        <f t="shared" si="34"/>
        <v>8616345.4099999983</v>
      </c>
      <c r="EV14" s="5"/>
      <c r="EW14" s="29">
        <f t="shared" si="10"/>
        <v>-15865095.709999999</v>
      </c>
      <c r="EX14" s="5"/>
      <c r="EY14" s="29">
        <f t="shared" si="11"/>
        <v>2353549.1600000006</v>
      </c>
      <c r="EZ14" s="5"/>
      <c r="FA14" s="29">
        <f t="shared" si="11"/>
        <v>-732944.51000000024</v>
      </c>
      <c r="FB14" s="5"/>
      <c r="FC14" s="29">
        <f t="shared" si="11"/>
        <v>-392866.56000000006</v>
      </c>
      <c r="FD14" s="5"/>
      <c r="FE14" s="29">
        <f t="shared" si="12"/>
        <v>658327.2099999995</v>
      </c>
      <c r="FF14" s="5"/>
      <c r="FG14" s="29">
        <v>-168645.71999999991</v>
      </c>
      <c r="FH14" s="5"/>
      <c r="FI14" s="29">
        <f t="shared" si="13"/>
        <v>-19903.120000000112</v>
      </c>
      <c r="FJ14" s="5"/>
      <c r="FK14" s="29">
        <f t="shared" si="14"/>
        <v>54485.25</v>
      </c>
      <c r="FL14" s="5"/>
      <c r="FM14" s="29">
        <f t="shared" si="15"/>
        <v>-1965854.1899999995</v>
      </c>
      <c r="FN14" s="5"/>
      <c r="FO14" s="29">
        <f t="shared" si="16"/>
        <v>570314.69999999972</v>
      </c>
      <c r="FP14" s="5"/>
      <c r="FQ14" s="29">
        <f t="shared" si="17"/>
        <v>2304252.6300000004</v>
      </c>
      <c r="FR14" s="5"/>
      <c r="FS14" s="29">
        <f t="shared" si="18"/>
        <v>-377043.17000000086</v>
      </c>
      <c r="FT14" s="5"/>
      <c r="FU14" s="29">
        <f t="shared" si="19"/>
        <v>176598.21999999974</v>
      </c>
      <c r="FV14" s="5"/>
      <c r="FW14" s="29">
        <f t="shared" si="19"/>
        <v>-804883.71999999974</v>
      </c>
      <c r="FX14" s="5"/>
      <c r="FY14" s="29">
        <f t="shared" si="19"/>
        <v>-84775.569999999367</v>
      </c>
      <c r="FZ14" s="5"/>
      <c r="GA14" s="29">
        <f t="shared" si="20"/>
        <v>-112010.42000000039</v>
      </c>
      <c r="GB14" s="5"/>
      <c r="GC14" s="29">
        <f t="shared" si="21"/>
        <v>-2163342.92</v>
      </c>
      <c r="GD14" s="5"/>
      <c r="GE14" s="29">
        <f t="shared" si="21"/>
        <v>2221810.34</v>
      </c>
      <c r="GF14" s="5"/>
      <c r="GG14" s="29">
        <f t="shared" si="21"/>
        <v>-784119.89999999967</v>
      </c>
      <c r="GH14" s="5"/>
      <c r="GI14" s="29">
        <f t="shared" si="22"/>
        <v>-1437690.4400000002</v>
      </c>
      <c r="GJ14" s="5"/>
      <c r="GK14" s="29">
        <f t="shared" si="23"/>
        <v>-528803.65999999992</v>
      </c>
      <c r="GL14" s="5"/>
      <c r="GM14" s="29">
        <f t="shared" si="23"/>
        <v>-115649.15000000014</v>
      </c>
      <c r="GN14" s="5"/>
      <c r="GO14" s="29">
        <f t="shared" si="24"/>
        <v>19126.600000000093</v>
      </c>
      <c r="GP14" s="5"/>
      <c r="GQ14" s="29">
        <f t="shared" si="25"/>
        <v>-179232.13000000012</v>
      </c>
      <c r="GR14" s="5"/>
      <c r="GS14" s="29">
        <f t="shared" si="26"/>
        <v>3868671.51</v>
      </c>
      <c r="GT14" s="5"/>
      <c r="GU14" s="29">
        <f t="shared" si="26"/>
        <v>713732.87999999989</v>
      </c>
    </row>
    <row r="15" spans="1:203">
      <c r="A15" s="96" t="s">
        <v>97</v>
      </c>
      <c r="C15" s="29"/>
      <c r="E15" s="29"/>
      <c r="G15" s="29"/>
      <c r="I15" s="29">
        <v>39140555.129999995</v>
      </c>
      <c r="K15" s="29">
        <v>-39372715.310000002</v>
      </c>
      <c r="M15" s="29">
        <v>-10347431.849999987</v>
      </c>
      <c r="O15" s="29">
        <v>1995617.549999997</v>
      </c>
      <c r="Q15" s="29">
        <v>11331555.429999992</v>
      </c>
      <c r="S15" s="29">
        <v>-13513881.479999989</v>
      </c>
      <c r="U15" s="29">
        <v>549025.10000000615</v>
      </c>
      <c r="W15" s="29">
        <v>441545.1799999997</v>
      </c>
      <c r="Y15" s="29">
        <v>2997199.3999999976</v>
      </c>
      <c r="AA15" s="29">
        <v>67648.189999997834</v>
      </c>
      <c r="AC15" s="29">
        <v>18165960.900000002</v>
      </c>
      <c r="AE15" s="29">
        <v>1606208.9800000025</v>
      </c>
      <c r="AG15" s="29">
        <v>24355922.700000003</v>
      </c>
      <c r="AI15" s="29">
        <v>-7815439.8899999987</v>
      </c>
      <c r="AK15" s="29">
        <v>12772605.140000002</v>
      </c>
      <c r="AM15" s="29">
        <v>8119526.0500000035</v>
      </c>
      <c r="AO15" s="29">
        <v>9324339.700000003</v>
      </c>
      <c r="AQ15" s="29">
        <v>1467184.1899999883</v>
      </c>
      <c r="AS15" s="29">
        <v>8635359.4900000002</v>
      </c>
      <c r="AU15" s="29">
        <v>-4806971.5900000082</v>
      </c>
      <c r="AW15" s="29">
        <v>6341296.4199999953</v>
      </c>
      <c r="AY15" s="29">
        <v>-11904966.679999992</v>
      </c>
      <c r="BA15" s="29">
        <v>-2328654.9600000009</v>
      </c>
      <c r="BC15" s="29">
        <v>-3134231.8200000022</v>
      </c>
      <c r="BE15" s="29">
        <v>-4351265.6699999971</v>
      </c>
      <c r="BG15" s="29">
        <v>-2220408.6499999976</v>
      </c>
      <c r="BI15" s="29">
        <v>2041631.0600000038</v>
      </c>
      <c r="BK15" s="29">
        <v>1411137.8000000026</v>
      </c>
      <c r="BM15" s="29">
        <v>-824702.67999999598</v>
      </c>
      <c r="BO15" s="29">
        <v>-3112697.759999997</v>
      </c>
      <c r="BQ15" s="29">
        <v>1283510.0800000038</v>
      </c>
      <c r="BS15" s="29">
        <v>2676634.5600000033</v>
      </c>
      <c r="BU15" s="29">
        <v>5316210.0599999977</v>
      </c>
      <c r="BW15" s="29">
        <v>840788.09000000241</v>
      </c>
      <c r="BY15" s="29">
        <v>8134005.6600000001</v>
      </c>
      <c r="CA15" s="29">
        <v>9231138.879999999</v>
      </c>
      <c r="CC15" s="29">
        <v>2115168.3200000012</v>
      </c>
      <c r="CE15" s="29">
        <v>-2224195.3099999996</v>
      </c>
      <c r="CG15" s="29">
        <v>8748830.1699999999</v>
      </c>
      <c r="CI15" s="29">
        <v>1778000.9900000005</v>
      </c>
      <c r="CK15" s="29">
        <v>5836687.799999997</v>
      </c>
      <c r="CM15" s="29">
        <v>-11889893.989999995</v>
      </c>
      <c r="CO15" s="29">
        <v>-876537.4299999997</v>
      </c>
      <c r="CQ15" s="29">
        <v>2820546.5599999949</v>
      </c>
      <c r="CS15" s="29">
        <v>-623277.14999999898</v>
      </c>
      <c r="CU15" s="29">
        <v>4560539.9299999988</v>
      </c>
      <c r="CW15" s="29">
        <v>13647360.780000001</v>
      </c>
      <c r="CY15" s="29"/>
      <c r="DA15" s="29"/>
      <c r="DC15" s="29"/>
      <c r="DD15" s="5"/>
      <c r="DE15" s="29"/>
      <c r="DF15" s="5"/>
      <c r="DG15" s="29"/>
      <c r="DH15" s="5"/>
      <c r="DI15" s="29">
        <f t="shared" si="27"/>
        <v>39140555.129999995</v>
      </c>
      <c r="DJ15" s="5"/>
      <c r="DK15" s="29">
        <f t="shared" si="28"/>
        <v>-29025283.460000016</v>
      </c>
      <c r="DL15" s="5"/>
      <c r="DM15" s="29">
        <f t="shared" si="28"/>
        <v>-12343049.399999984</v>
      </c>
      <c r="DN15" s="5"/>
      <c r="DO15" s="29">
        <f t="shared" si="28"/>
        <v>-9335937.8799999952</v>
      </c>
      <c r="DP15" s="5"/>
      <c r="DQ15" s="29">
        <f t="shared" si="29"/>
        <v>11331555.429999992</v>
      </c>
      <c r="DR15" s="5"/>
      <c r="DS15" s="29">
        <f t="shared" si="30"/>
        <v>-14062906.579999994</v>
      </c>
      <c r="DT15" s="5"/>
      <c r="DU15" s="29">
        <f t="shared" si="30"/>
        <v>107479.92000000644</v>
      </c>
      <c r="DV15" s="5"/>
      <c r="DW15" s="29">
        <f t="shared" si="30"/>
        <v>-2555654.2199999979</v>
      </c>
      <c r="DX15" s="5"/>
      <c r="DY15" s="29">
        <f t="shared" si="31"/>
        <v>2997199.3999999976</v>
      </c>
      <c r="DZ15" s="5"/>
      <c r="EA15" s="29">
        <f t="shared" si="0"/>
        <v>-18098312.710000005</v>
      </c>
      <c r="EB15" s="5"/>
      <c r="EC15" s="29">
        <f t="shared" si="1"/>
        <v>16559751.92</v>
      </c>
      <c r="ED15" s="5"/>
      <c r="EE15" s="29">
        <f t="shared" si="3"/>
        <v>-22749713.719999999</v>
      </c>
      <c r="EF15" s="5"/>
      <c r="EG15" s="29">
        <f t="shared" si="4"/>
        <v>24355922.700000003</v>
      </c>
      <c r="EH15" s="5"/>
      <c r="EI15" s="29">
        <f t="shared" si="2"/>
        <v>-20588045.030000001</v>
      </c>
      <c r="EJ15" s="5"/>
      <c r="EK15" s="29">
        <f t="shared" si="2"/>
        <v>4653079.0899999989</v>
      </c>
      <c r="EL15" s="5"/>
      <c r="EM15" s="29">
        <f t="shared" si="5"/>
        <v>-1204813.6499999994</v>
      </c>
      <c r="EN15" s="5"/>
      <c r="EO15" s="29">
        <f t="shared" si="6"/>
        <v>9324339.700000003</v>
      </c>
      <c r="EP15" s="5"/>
      <c r="EQ15" s="29">
        <f t="shared" si="32"/>
        <v>-7168175.3000000119</v>
      </c>
      <c r="ER15" s="5"/>
      <c r="ES15" s="29">
        <f t="shared" si="33"/>
        <v>13442331.080000009</v>
      </c>
      <c r="ET15" s="5"/>
      <c r="EU15" s="29">
        <f t="shared" si="34"/>
        <v>-11148268.010000004</v>
      </c>
      <c r="EV15" s="5"/>
      <c r="EW15" s="29">
        <f t="shared" si="10"/>
        <v>6341296.4199999953</v>
      </c>
      <c r="EX15" s="5"/>
      <c r="EY15" s="29">
        <f t="shared" si="11"/>
        <v>-9576311.7199999914</v>
      </c>
      <c r="EZ15" s="5"/>
      <c r="FA15" s="29">
        <f t="shared" si="11"/>
        <v>805576.86000000127</v>
      </c>
      <c r="FB15" s="5"/>
      <c r="FC15" s="29">
        <f t="shared" si="11"/>
        <v>1217033.849999995</v>
      </c>
      <c r="FD15" s="5"/>
      <c r="FE15" s="29">
        <f t="shared" si="12"/>
        <v>-4351265.6699999971</v>
      </c>
      <c r="FF15" s="5"/>
      <c r="FG15" s="29">
        <v>-4262039.7100000009</v>
      </c>
      <c r="FH15" s="5"/>
      <c r="FI15" s="29">
        <f t="shared" si="13"/>
        <v>630493.26000000117</v>
      </c>
      <c r="FJ15" s="5"/>
      <c r="FK15" s="29">
        <f t="shared" si="14"/>
        <v>2235840.4799999986</v>
      </c>
      <c r="FL15" s="5"/>
      <c r="FM15" s="29">
        <f t="shared" si="15"/>
        <v>2287995.080000001</v>
      </c>
      <c r="FN15" s="5"/>
      <c r="FO15" s="29">
        <f t="shared" si="16"/>
        <v>-4396207.8400000008</v>
      </c>
      <c r="FP15" s="5"/>
      <c r="FQ15" s="29">
        <f t="shared" si="17"/>
        <v>-1393124.4799999995</v>
      </c>
      <c r="FR15" s="5"/>
      <c r="FS15" s="29">
        <f t="shared" si="18"/>
        <v>2676634.5600000033</v>
      </c>
      <c r="FT15" s="5"/>
      <c r="FU15" s="29">
        <f t="shared" si="19"/>
        <v>4475421.9699999951</v>
      </c>
      <c r="FV15" s="5"/>
      <c r="FW15" s="29">
        <f t="shared" si="19"/>
        <v>-7293217.5699999975</v>
      </c>
      <c r="FX15" s="5"/>
      <c r="FY15" s="29">
        <f t="shared" si="19"/>
        <v>-1097133.2199999988</v>
      </c>
      <c r="FZ15" s="5"/>
      <c r="GA15" s="29">
        <f t="shared" si="20"/>
        <v>9231138.879999999</v>
      </c>
      <c r="GB15" s="5"/>
      <c r="GC15" s="29">
        <f t="shared" si="21"/>
        <v>4339363.6300000008</v>
      </c>
      <c r="GD15" s="5"/>
      <c r="GE15" s="29">
        <f t="shared" si="21"/>
        <v>-10973025.48</v>
      </c>
      <c r="GF15" s="5"/>
      <c r="GG15" s="29">
        <f t="shared" si="21"/>
        <v>6970829.1799999997</v>
      </c>
      <c r="GH15" s="5"/>
      <c r="GI15" s="29">
        <f t="shared" si="22"/>
        <v>1778000.9900000005</v>
      </c>
      <c r="GJ15" s="5"/>
      <c r="GK15" s="29">
        <f t="shared" si="23"/>
        <v>17726581.789999992</v>
      </c>
      <c r="GL15" s="5"/>
      <c r="GM15" s="29">
        <f t="shared" si="23"/>
        <v>-11013356.559999995</v>
      </c>
      <c r="GN15" s="5"/>
      <c r="GO15" s="29">
        <f t="shared" si="24"/>
        <v>-3697083.9899999946</v>
      </c>
      <c r="GP15" s="5"/>
      <c r="GQ15" s="29">
        <f t="shared" si="25"/>
        <v>2820546.5599999949</v>
      </c>
      <c r="GR15" s="5"/>
      <c r="GS15" s="29">
        <f t="shared" si="26"/>
        <v>-5183817.0799999982</v>
      </c>
      <c r="GT15" s="5"/>
      <c r="GU15" s="29">
        <f t="shared" si="26"/>
        <v>-9086820.8500000015</v>
      </c>
    </row>
    <row r="16" spans="1:203">
      <c r="A16" s="96" t="s">
        <v>98</v>
      </c>
      <c r="C16" s="29"/>
      <c r="E16" s="29"/>
      <c r="G16" s="29"/>
      <c r="I16" s="29">
        <v>46173171.870000146</v>
      </c>
      <c r="K16" s="29">
        <v>2742100.4457999882</v>
      </c>
      <c r="M16" s="29">
        <v>-19286418.084200002</v>
      </c>
      <c r="O16" s="29">
        <v>-21236677.004199997</v>
      </c>
      <c r="Q16" s="29">
        <v>33165968.755800001</v>
      </c>
      <c r="S16" s="29">
        <v>15308426.33420001</v>
      </c>
      <c r="U16" s="29">
        <v>-18150695.29999999</v>
      </c>
      <c r="W16" s="29">
        <v>-2666883.0699999915</v>
      </c>
      <c r="Y16" s="29">
        <v>-17950745.080000002</v>
      </c>
      <c r="AA16" s="29">
        <v>14678684.159999983</v>
      </c>
      <c r="AC16" s="29">
        <v>-9229615.3800000027</v>
      </c>
      <c r="AE16" s="29">
        <v>-14198926.030000009</v>
      </c>
      <c r="AG16" s="29">
        <v>6555304.6400000015</v>
      </c>
      <c r="AI16" s="29">
        <v>12279196.730000002</v>
      </c>
      <c r="AK16" s="29">
        <v>-3159500.3600000059</v>
      </c>
      <c r="AM16" s="29">
        <v>-7682097.6400000015</v>
      </c>
      <c r="AO16" s="29">
        <v>-1867207.0900000017</v>
      </c>
      <c r="AQ16" s="29">
        <v>1354907.0800000029</v>
      </c>
      <c r="AS16" s="29">
        <v>-10696854.08</v>
      </c>
      <c r="AU16" s="29">
        <v>1688232.1200000017</v>
      </c>
      <c r="AW16" s="29">
        <v>16769999.350000005</v>
      </c>
      <c r="AY16" s="29">
        <v>3627910.3199999994</v>
      </c>
      <c r="BA16" s="29">
        <v>-6542549.120000001</v>
      </c>
      <c r="BC16" s="29">
        <v>2922130.1099999985</v>
      </c>
      <c r="BE16" s="29">
        <v>19298009.789999995</v>
      </c>
      <c r="BG16" s="29">
        <v>4364204.1599999992</v>
      </c>
      <c r="BI16" s="29">
        <v>-7179807.1300000092</v>
      </c>
      <c r="BK16" s="29">
        <v>-7944629.1400000006</v>
      </c>
      <c r="BM16" s="29">
        <v>11053097.749999998</v>
      </c>
      <c r="BO16" s="29">
        <v>-5065595.089999998</v>
      </c>
      <c r="BQ16" s="29">
        <v>-6788695.3999999994</v>
      </c>
      <c r="BS16" s="29">
        <v>-5942128.7999999989</v>
      </c>
      <c r="BU16" s="29">
        <v>-14256844.259999998</v>
      </c>
      <c r="BW16" s="29">
        <v>-13821061.759999996</v>
      </c>
      <c r="BY16" s="29">
        <v>-17974152.210000001</v>
      </c>
      <c r="CA16" s="29">
        <v>-21573848.979999997</v>
      </c>
      <c r="CC16" s="29">
        <v>2355029.4799999963</v>
      </c>
      <c r="CE16" s="29">
        <v>-8543585.6500000004</v>
      </c>
      <c r="CG16" s="29">
        <v>-22387461.18</v>
      </c>
      <c r="CI16" s="29">
        <v>-13102752.41</v>
      </c>
      <c r="CK16" s="29">
        <v>1036286.4386941218</v>
      </c>
      <c r="CM16" s="29">
        <v>-3727068.8783717789</v>
      </c>
      <c r="CO16" s="29">
        <v>-10167563.800094604</v>
      </c>
      <c r="CQ16" s="29">
        <v>-13686471.954298686</v>
      </c>
      <c r="CS16" s="29">
        <v>-2083530.8789421292</v>
      </c>
      <c r="CU16" s="29">
        <v>-10532281.640991282</v>
      </c>
      <c r="CW16" s="29">
        <v>-18023993.625897687</v>
      </c>
      <c r="CY16" s="29"/>
      <c r="DA16" s="29"/>
      <c r="DC16" s="29"/>
      <c r="DD16" s="5"/>
      <c r="DE16" s="29"/>
      <c r="DF16" s="5"/>
      <c r="DG16" s="29"/>
      <c r="DH16" s="5"/>
      <c r="DI16" s="29">
        <f t="shared" si="27"/>
        <v>46173171.870000146</v>
      </c>
      <c r="DJ16" s="5"/>
      <c r="DK16" s="29">
        <f t="shared" si="28"/>
        <v>22028518.52999999</v>
      </c>
      <c r="DL16" s="5"/>
      <c r="DM16" s="29">
        <f t="shared" si="28"/>
        <v>1950258.9199999943</v>
      </c>
      <c r="DN16" s="5"/>
      <c r="DO16" s="29">
        <f t="shared" si="28"/>
        <v>-54402645.759999998</v>
      </c>
      <c r="DP16" s="5"/>
      <c r="DQ16" s="29">
        <f t="shared" si="29"/>
        <v>33165968.755800001</v>
      </c>
      <c r="DR16" s="5"/>
      <c r="DS16" s="29">
        <f t="shared" si="30"/>
        <v>33459121.634199999</v>
      </c>
      <c r="DT16" s="5"/>
      <c r="DU16" s="29">
        <f t="shared" si="30"/>
        <v>-15483812.229999999</v>
      </c>
      <c r="DV16" s="5"/>
      <c r="DW16" s="29">
        <f t="shared" si="30"/>
        <v>15283862.010000011</v>
      </c>
      <c r="DX16" s="5"/>
      <c r="DY16" s="29">
        <f t="shared" si="31"/>
        <v>-17950745.080000002</v>
      </c>
      <c r="DZ16" s="5"/>
      <c r="EA16" s="29">
        <f t="shared" si="0"/>
        <v>23908299.539999984</v>
      </c>
      <c r="EB16" s="5"/>
      <c r="EC16" s="29">
        <f t="shared" si="1"/>
        <v>4969310.650000006</v>
      </c>
      <c r="ED16" s="5"/>
      <c r="EE16" s="29">
        <f t="shared" si="3"/>
        <v>-20754230.670000009</v>
      </c>
      <c r="EF16" s="5"/>
      <c r="EG16" s="29">
        <f t="shared" si="4"/>
        <v>6555304.6400000015</v>
      </c>
      <c r="EH16" s="5"/>
      <c r="EI16" s="29">
        <f t="shared" si="2"/>
        <v>15438697.090000007</v>
      </c>
      <c r="EJ16" s="5"/>
      <c r="EK16" s="29">
        <f t="shared" si="2"/>
        <v>4522597.2799999956</v>
      </c>
      <c r="EL16" s="5"/>
      <c r="EM16" s="29">
        <f t="shared" si="5"/>
        <v>-5814890.5499999998</v>
      </c>
      <c r="EN16" s="5"/>
      <c r="EO16" s="29">
        <f t="shared" si="6"/>
        <v>-1867207.0900000017</v>
      </c>
      <c r="EP16" s="5"/>
      <c r="EQ16" s="29">
        <f t="shared" si="32"/>
        <v>12051761.160000004</v>
      </c>
      <c r="ER16" s="5"/>
      <c r="ES16" s="29">
        <f t="shared" si="33"/>
        <v>-12385086.200000001</v>
      </c>
      <c r="ET16" s="5"/>
      <c r="EU16" s="29">
        <f t="shared" si="34"/>
        <v>-15081767.230000004</v>
      </c>
      <c r="EV16" s="5"/>
      <c r="EW16" s="29">
        <f t="shared" si="10"/>
        <v>16769999.350000005</v>
      </c>
      <c r="EX16" s="5"/>
      <c r="EY16" s="29">
        <f t="shared" si="11"/>
        <v>10170459.440000001</v>
      </c>
      <c r="EZ16" s="5"/>
      <c r="FA16" s="29">
        <f t="shared" si="11"/>
        <v>-9464679.2300000004</v>
      </c>
      <c r="FB16" s="5"/>
      <c r="FC16" s="29">
        <f t="shared" si="11"/>
        <v>-16375879.679999996</v>
      </c>
      <c r="FD16" s="5"/>
      <c r="FE16" s="29">
        <f t="shared" si="12"/>
        <v>19298009.789999995</v>
      </c>
      <c r="FF16" s="5"/>
      <c r="FG16" s="29">
        <v>11544011.29000001</v>
      </c>
      <c r="FH16" s="5"/>
      <c r="FI16" s="29">
        <f t="shared" si="13"/>
        <v>764822.00999999139</v>
      </c>
      <c r="FJ16" s="5"/>
      <c r="FK16" s="29">
        <f t="shared" si="14"/>
        <v>-18997726.890000001</v>
      </c>
      <c r="FL16" s="5"/>
      <c r="FM16" s="29">
        <f t="shared" si="15"/>
        <v>16118692.839999996</v>
      </c>
      <c r="FN16" s="5"/>
      <c r="FO16" s="29">
        <f t="shared" si="16"/>
        <v>1723100.3100000015</v>
      </c>
      <c r="FP16" s="5"/>
      <c r="FQ16" s="29">
        <f t="shared" si="17"/>
        <v>-846566.60000000056</v>
      </c>
      <c r="FR16" s="5"/>
      <c r="FS16" s="29">
        <f t="shared" si="18"/>
        <v>-5942128.7999999989</v>
      </c>
      <c r="FT16" s="5"/>
      <c r="FU16" s="29">
        <f t="shared" si="19"/>
        <v>-435782.50000000186</v>
      </c>
      <c r="FV16" s="5"/>
      <c r="FW16" s="29">
        <f t="shared" si="19"/>
        <v>4153090.4500000048</v>
      </c>
      <c r="FX16" s="5"/>
      <c r="FY16" s="29">
        <f t="shared" si="19"/>
        <v>3599696.7699999958</v>
      </c>
      <c r="FZ16" s="5"/>
      <c r="GA16" s="29">
        <f t="shared" si="20"/>
        <v>-21573848.979999997</v>
      </c>
      <c r="GB16" s="5"/>
      <c r="GC16" s="29">
        <f t="shared" si="21"/>
        <v>10898615.129999997</v>
      </c>
      <c r="GD16" s="5"/>
      <c r="GE16" s="29">
        <f t="shared" si="21"/>
        <v>13843875.529999999</v>
      </c>
      <c r="GF16" s="5"/>
      <c r="GG16" s="29">
        <f t="shared" si="21"/>
        <v>-9284708.7699999996</v>
      </c>
      <c r="GH16" s="5"/>
      <c r="GI16" s="29">
        <f t="shared" si="22"/>
        <v>-13102752.41</v>
      </c>
      <c r="GJ16" s="5"/>
      <c r="GK16" s="29">
        <f t="shared" si="23"/>
        <v>4763355.3170659002</v>
      </c>
      <c r="GL16" s="5"/>
      <c r="GM16" s="29">
        <f t="shared" si="23"/>
        <v>6440494.9217228256</v>
      </c>
      <c r="GN16" s="5"/>
      <c r="GO16" s="29">
        <f t="shared" si="24"/>
        <v>3518908.1542040817</v>
      </c>
      <c r="GP16" s="5"/>
      <c r="GQ16" s="29">
        <f t="shared" si="25"/>
        <v>-13686471.954298686</v>
      </c>
      <c r="GR16" s="5"/>
      <c r="GS16" s="29">
        <f t="shared" si="26"/>
        <v>8448750.7620491534</v>
      </c>
      <c r="GT16" s="5"/>
      <c r="GU16" s="29">
        <f t="shared" si="26"/>
        <v>7491711.9849064052</v>
      </c>
    </row>
    <row r="17" spans="1:203">
      <c r="A17" s="96" t="s">
        <v>99</v>
      </c>
      <c r="C17" s="29"/>
      <c r="E17" s="29"/>
      <c r="G17" s="29"/>
      <c r="I17" s="29">
        <v>0</v>
      </c>
      <c r="K17" s="29">
        <v>242943.61999999991</v>
      </c>
      <c r="M17" s="29">
        <v>0</v>
      </c>
      <c r="O17" s="29">
        <v>0</v>
      </c>
      <c r="Q17" s="29">
        <v>0</v>
      </c>
      <c r="S17" s="29">
        <v>-71051.369999999952</v>
      </c>
      <c r="U17" s="29">
        <v>0</v>
      </c>
      <c r="W17" s="29">
        <v>0</v>
      </c>
      <c r="Y17" s="29">
        <v>-10</v>
      </c>
      <c r="AA17" s="29">
        <v>42287.249999999985</v>
      </c>
      <c r="AC17" s="29">
        <v>0</v>
      </c>
      <c r="AE17" s="29">
        <v>0</v>
      </c>
      <c r="AG17" s="29">
        <v>0</v>
      </c>
      <c r="AI17" s="29">
        <v>90139.14</v>
      </c>
      <c r="AK17" s="29">
        <v>0</v>
      </c>
      <c r="AM17" s="29">
        <v>0</v>
      </c>
      <c r="AO17" s="29">
        <v>0</v>
      </c>
      <c r="AQ17" s="29">
        <v>-21535.099999999995</v>
      </c>
      <c r="AS17" s="29">
        <v>0</v>
      </c>
      <c r="AU17" s="29">
        <v>0</v>
      </c>
      <c r="AW17" s="29">
        <v>0</v>
      </c>
      <c r="AY17" s="29">
        <v>11240.36999999999</v>
      </c>
      <c r="BA17" s="29">
        <v>0</v>
      </c>
      <c r="BC17" s="29">
        <v>0</v>
      </c>
      <c r="BE17" s="29">
        <v>0</v>
      </c>
      <c r="BG17" s="29">
        <v>91691.520000000004</v>
      </c>
      <c r="BI17" s="29">
        <v>-7722</v>
      </c>
      <c r="BK17" s="29">
        <v>-7722</v>
      </c>
      <c r="BM17" s="29">
        <v>-7722</v>
      </c>
      <c r="BO17" s="29">
        <v>-7722</v>
      </c>
      <c r="BQ17" s="29">
        <v>-7722</v>
      </c>
      <c r="BS17" s="29">
        <v>-7722</v>
      </c>
      <c r="BU17" s="29">
        <v>79138.429999999993</v>
      </c>
      <c r="BW17" s="29">
        <v>0</v>
      </c>
      <c r="BY17" s="29">
        <v>0</v>
      </c>
      <c r="CA17" s="29">
        <v>0</v>
      </c>
      <c r="CC17" s="29">
        <v>99802.760000000038</v>
      </c>
      <c r="CE17" s="29">
        <v>5511669.2999999989</v>
      </c>
      <c r="CG17" s="29">
        <v>0</v>
      </c>
      <c r="CI17" s="29">
        <v>0</v>
      </c>
      <c r="CK17" s="29">
        <v>78046.999999999985</v>
      </c>
      <c r="CM17" s="29">
        <v>0</v>
      </c>
      <c r="CO17" s="29">
        <v>0</v>
      </c>
      <c r="CQ17" s="29">
        <v>0</v>
      </c>
      <c r="CS17" s="29">
        <v>20986.759999999991</v>
      </c>
      <c r="CU17" s="29">
        <v>0</v>
      </c>
      <c r="CW17" s="29">
        <v>0</v>
      </c>
      <c r="CY17" s="29"/>
      <c r="DA17" s="29"/>
      <c r="DC17" s="29"/>
      <c r="DD17" s="5"/>
      <c r="DE17" s="29"/>
      <c r="DF17" s="5"/>
      <c r="DG17" s="29"/>
      <c r="DH17" s="5"/>
      <c r="DI17" s="29">
        <f t="shared" si="27"/>
        <v>0</v>
      </c>
      <c r="DJ17" s="5"/>
      <c r="DK17" s="29">
        <f t="shared" si="28"/>
        <v>242943.61999999991</v>
      </c>
      <c r="DL17" s="5"/>
      <c r="DM17" s="29">
        <f t="shared" si="28"/>
        <v>0</v>
      </c>
      <c r="DN17" s="5"/>
      <c r="DO17" s="29">
        <f t="shared" si="28"/>
        <v>0</v>
      </c>
      <c r="DP17" s="5"/>
      <c r="DQ17" s="29">
        <f t="shared" si="29"/>
        <v>0</v>
      </c>
      <c r="DR17" s="5"/>
      <c r="DS17" s="29">
        <f t="shared" si="30"/>
        <v>-71051.369999999952</v>
      </c>
      <c r="DT17" s="5"/>
      <c r="DU17" s="29">
        <f t="shared" si="30"/>
        <v>0</v>
      </c>
      <c r="DV17" s="5"/>
      <c r="DW17" s="29">
        <f t="shared" si="30"/>
        <v>10</v>
      </c>
      <c r="DX17" s="5"/>
      <c r="DY17" s="29">
        <f t="shared" si="31"/>
        <v>-10</v>
      </c>
      <c r="DZ17" s="5"/>
      <c r="EA17" s="29">
        <f t="shared" si="0"/>
        <v>42287.249999999985</v>
      </c>
      <c r="EB17" s="5"/>
      <c r="EC17" s="29">
        <f t="shared" si="1"/>
        <v>0</v>
      </c>
      <c r="ED17" s="5"/>
      <c r="EE17" s="29">
        <f t="shared" si="3"/>
        <v>0</v>
      </c>
      <c r="EF17" s="5"/>
      <c r="EG17" s="29">
        <f t="shared" si="4"/>
        <v>0</v>
      </c>
      <c r="EH17" s="5"/>
      <c r="EI17" s="29">
        <f t="shared" si="2"/>
        <v>90139.14</v>
      </c>
      <c r="EJ17" s="5"/>
      <c r="EK17" s="29">
        <f t="shared" si="2"/>
        <v>0</v>
      </c>
      <c r="EL17" s="5"/>
      <c r="EM17" s="29">
        <f t="shared" si="5"/>
        <v>0</v>
      </c>
      <c r="EN17" s="5"/>
      <c r="EO17" s="29">
        <f t="shared" si="6"/>
        <v>0</v>
      </c>
      <c r="EP17" s="5"/>
      <c r="EQ17" s="29">
        <f t="shared" si="32"/>
        <v>-21535.099999999995</v>
      </c>
      <c r="ER17" s="5"/>
      <c r="ES17" s="29">
        <f t="shared" si="33"/>
        <v>0</v>
      </c>
      <c r="ET17" s="5"/>
      <c r="EU17" s="29">
        <f t="shared" si="34"/>
        <v>0</v>
      </c>
      <c r="EV17" s="5"/>
      <c r="EW17" s="29">
        <f t="shared" si="10"/>
        <v>0</v>
      </c>
      <c r="EX17" s="5"/>
      <c r="EY17" s="29">
        <f t="shared" si="11"/>
        <v>11240.36999999999</v>
      </c>
      <c r="EZ17" s="5"/>
      <c r="FA17" s="29">
        <f t="shared" si="11"/>
        <v>0</v>
      </c>
      <c r="FB17" s="5"/>
      <c r="FC17" s="29">
        <f t="shared" si="11"/>
        <v>0</v>
      </c>
      <c r="FD17" s="5"/>
      <c r="FE17" s="29">
        <f t="shared" si="12"/>
        <v>0</v>
      </c>
      <c r="FF17" s="5"/>
      <c r="FG17" s="29">
        <v>99413.51999999999</v>
      </c>
      <c r="FH17" s="5"/>
      <c r="FI17" s="29">
        <f t="shared" si="13"/>
        <v>0</v>
      </c>
      <c r="FJ17" s="5"/>
      <c r="FK17" s="29">
        <f t="shared" si="14"/>
        <v>0</v>
      </c>
      <c r="FL17" s="5"/>
      <c r="FM17" s="29">
        <f t="shared" si="15"/>
        <v>0</v>
      </c>
      <c r="FN17" s="5"/>
      <c r="FO17" s="29">
        <f t="shared" si="16"/>
        <v>0</v>
      </c>
      <c r="FP17" s="5"/>
      <c r="FQ17" s="29">
        <f t="shared" si="17"/>
        <v>0</v>
      </c>
      <c r="FR17" s="5"/>
      <c r="FS17" s="29">
        <f t="shared" si="18"/>
        <v>-7722</v>
      </c>
      <c r="FT17" s="5"/>
      <c r="FU17" s="29">
        <f t="shared" si="19"/>
        <v>79138.429999999993</v>
      </c>
      <c r="FV17" s="5"/>
      <c r="FW17" s="29">
        <f t="shared" si="19"/>
        <v>0</v>
      </c>
      <c r="FX17" s="5"/>
      <c r="FY17" s="29">
        <f t="shared" si="19"/>
        <v>0</v>
      </c>
      <c r="FZ17" s="5"/>
      <c r="GA17" s="29">
        <f t="shared" si="20"/>
        <v>0</v>
      </c>
      <c r="GB17" s="5"/>
      <c r="GC17" s="29">
        <f t="shared" si="21"/>
        <v>-5411866.5399999991</v>
      </c>
      <c r="GD17" s="5"/>
      <c r="GE17" s="29">
        <f t="shared" si="21"/>
        <v>5511669.2999999989</v>
      </c>
      <c r="GF17" s="5"/>
      <c r="GG17" s="29">
        <f t="shared" si="21"/>
        <v>0</v>
      </c>
      <c r="GH17" s="5"/>
      <c r="GI17" s="29">
        <f t="shared" si="22"/>
        <v>0</v>
      </c>
      <c r="GJ17" s="5"/>
      <c r="GK17" s="29">
        <f t="shared" si="23"/>
        <v>78046.999999999985</v>
      </c>
      <c r="GL17" s="5"/>
      <c r="GM17" s="29">
        <f t="shared" si="23"/>
        <v>0</v>
      </c>
      <c r="GN17" s="5"/>
      <c r="GO17" s="29">
        <f t="shared" si="24"/>
        <v>0</v>
      </c>
      <c r="GP17" s="5"/>
      <c r="GQ17" s="29">
        <f t="shared" si="25"/>
        <v>0</v>
      </c>
      <c r="GR17" s="5"/>
      <c r="GS17" s="29">
        <f t="shared" si="26"/>
        <v>20986.759999999991</v>
      </c>
      <c r="GT17" s="5"/>
      <c r="GU17" s="29">
        <f t="shared" si="26"/>
        <v>0</v>
      </c>
    </row>
    <row r="18" spans="1:203">
      <c r="A18" s="96" t="s">
        <v>100</v>
      </c>
      <c r="C18" s="29"/>
      <c r="E18" s="29"/>
      <c r="G18" s="29"/>
      <c r="I18" s="29">
        <v>6149420.6299998863</v>
      </c>
      <c r="K18" s="29">
        <v>23381099.009999998</v>
      </c>
      <c r="M18" s="29">
        <v>27162841.030000009</v>
      </c>
      <c r="O18" s="29">
        <v>22492857.789999999</v>
      </c>
      <c r="Q18" s="29">
        <v>10620348.170000002</v>
      </c>
      <c r="S18" s="29">
        <v>6888699.8600000022</v>
      </c>
      <c r="U18" s="29">
        <v>2382890.8300000019</v>
      </c>
      <c r="W18" s="29">
        <v>-1328307.0099999993</v>
      </c>
      <c r="Y18" s="29">
        <v>-792383.33999999985</v>
      </c>
      <c r="AA18" s="29">
        <v>299428.30999999819</v>
      </c>
      <c r="AC18" s="29">
        <v>-1661887.6800000002</v>
      </c>
      <c r="AE18" s="29">
        <v>-460495.98000000033</v>
      </c>
      <c r="AG18" s="29">
        <v>-165436.20000000123</v>
      </c>
      <c r="AI18" s="29">
        <v>-1366171.2899999984</v>
      </c>
      <c r="AK18" s="29">
        <v>-297022.86999999901</v>
      </c>
      <c r="AM18" s="29">
        <v>-311583.62999999902</v>
      </c>
      <c r="AO18" s="29">
        <v>-292474.89000000007</v>
      </c>
      <c r="AQ18" s="29">
        <v>435522.89999999874</v>
      </c>
      <c r="AS18" s="29">
        <v>581856.09000000008</v>
      </c>
      <c r="AU18" s="29">
        <v>607975.2899999998</v>
      </c>
      <c r="AW18" s="29">
        <v>774881.11999999825</v>
      </c>
      <c r="AY18" s="29">
        <v>-392869.33000000101</v>
      </c>
      <c r="BA18" s="29">
        <v>2807459.7799999993</v>
      </c>
      <c r="BC18" s="29">
        <v>3709104.8099999987</v>
      </c>
      <c r="BE18" s="29">
        <v>2192428.7200000007</v>
      </c>
      <c r="BG18" s="29">
        <v>-10792281.170000002</v>
      </c>
      <c r="BI18" s="29">
        <v>-2920768.12</v>
      </c>
      <c r="BK18" s="29">
        <v>-2450778.1800000025</v>
      </c>
      <c r="BM18" s="29">
        <v>-2056651.1100000013</v>
      </c>
      <c r="BO18" s="29">
        <v>-1752135.5700000022</v>
      </c>
      <c r="BQ18" s="29">
        <v>-1382527.01</v>
      </c>
      <c r="BS18" s="29">
        <v>-551822.66000000155</v>
      </c>
      <c r="BU18" s="29">
        <v>-2787304.71</v>
      </c>
      <c r="BW18" s="29">
        <v>-1786648.71</v>
      </c>
      <c r="BY18" s="29">
        <v>-1439877.0699999994</v>
      </c>
      <c r="CA18" s="29">
        <v>895735.9299999997</v>
      </c>
      <c r="CC18" s="29">
        <v>441243.6100000001</v>
      </c>
      <c r="CE18" s="29">
        <v>0</v>
      </c>
      <c r="CG18" s="29">
        <v>17144.229999999836</v>
      </c>
      <c r="CI18" s="29">
        <v>12156.199999999924</v>
      </c>
      <c r="CK18" s="29">
        <v>-21079.660000000149</v>
      </c>
      <c r="CM18" s="29">
        <v>-809033.35000000009</v>
      </c>
      <c r="CO18" s="29">
        <v>-306627</v>
      </c>
      <c r="CQ18" s="29">
        <v>-378190.31000000006</v>
      </c>
      <c r="CS18" s="29">
        <v>-219146.80999999959</v>
      </c>
      <c r="CU18" s="29">
        <v>-101740.26000000024</v>
      </c>
      <c r="CW18" s="29">
        <v>51801.100000000093</v>
      </c>
      <c r="CY18" s="29"/>
      <c r="DA18" s="29"/>
      <c r="DC18" s="29"/>
      <c r="DD18" s="5"/>
      <c r="DE18" s="29"/>
      <c r="DF18" s="5"/>
      <c r="DG18" s="29"/>
      <c r="DH18" s="5"/>
      <c r="DI18" s="29">
        <f t="shared" si="27"/>
        <v>6149420.6299998863</v>
      </c>
      <c r="DJ18" s="5"/>
      <c r="DK18" s="29">
        <f t="shared" si="28"/>
        <v>-3781742.0200000107</v>
      </c>
      <c r="DL18" s="5"/>
      <c r="DM18" s="29">
        <f t="shared" si="28"/>
        <v>4669983.2400000095</v>
      </c>
      <c r="DN18" s="5"/>
      <c r="DO18" s="29">
        <f t="shared" si="28"/>
        <v>11872509.619999997</v>
      </c>
      <c r="DP18" s="5"/>
      <c r="DQ18" s="29">
        <f t="shared" si="29"/>
        <v>10620348.170000002</v>
      </c>
      <c r="DR18" s="5"/>
      <c r="DS18" s="29">
        <f t="shared" si="30"/>
        <v>4505809.03</v>
      </c>
      <c r="DT18" s="5"/>
      <c r="DU18" s="29">
        <f t="shared" si="30"/>
        <v>3711197.8400000012</v>
      </c>
      <c r="DV18" s="5"/>
      <c r="DW18" s="29">
        <f t="shared" si="30"/>
        <v>-535923.66999999946</v>
      </c>
      <c r="DX18" s="5"/>
      <c r="DY18" s="29">
        <f t="shared" si="31"/>
        <v>-792383.33999999985</v>
      </c>
      <c r="DZ18" s="5"/>
      <c r="EA18" s="29">
        <f t="shared" si="0"/>
        <v>1961315.9899999984</v>
      </c>
      <c r="EB18" s="5"/>
      <c r="EC18" s="29">
        <f t="shared" si="1"/>
        <v>-1201391.6999999997</v>
      </c>
      <c r="ED18" s="5"/>
      <c r="EE18" s="29">
        <f t="shared" si="3"/>
        <v>-295059.7799999991</v>
      </c>
      <c r="EF18" s="5"/>
      <c r="EG18" s="29">
        <f t="shared" si="4"/>
        <v>-165436.20000000123</v>
      </c>
      <c r="EH18" s="5"/>
      <c r="EI18" s="29">
        <f t="shared" si="2"/>
        <v>-1069148.4199999995</v>
      </c>
      <c r="EJ18" s="5"/>
      <c r="EK18" s="29">
        <f t="shared" si="2"/>
        <v>14560.760000000009</v>
      </c>
      <c r="EL18" s="5"/>
      <c r="EM18" s="29">
        <f t="shared" si="5"/>
        <v>-19108.739999998943</v>
      </c>
      <c r="EN18" s="5"/>
      <c r="EO18" s="29">
        <f t="shared" si="6"/>
        <v>-292474.89000000007</v>
      </c>
      <c r="EP18" s="5"/>
      <c r="EQ18" s="29">
        <f t="shared" si="32"/>
        <v>-146333.19000000134</v>
      </c>
      <c r="ER18" s="5"/>
      <c r="ES18" s="29">
        <f t="shared" si="33"/>
        <v>-26119.199999999721</v>
      </c>
      <c r="ET18" s="5"/>
      <c r="EU18" s="29">
        <f t="shared" si="34"/>
        <v>-166905.82999999844</v>
      </c>
      <c r="EV18" s="5"/>
      <c r="EW18" s="29">
        <f t="shared" si="10"/>
        <v>774881.11999999825</v>
      </c>
      <c r="EX18" s="5"/>
      <c r="EY18" s="29">
        <f t="shared" si="11"/>
        <v>-3200329.1100000003</v>
      </c>
      <c r="EZ18" s="5"/>
      <c r="FA18" s="29">
        <f t="shared" si="11"/>
        <v>-901645.02999999933</v>
      </c>
      <c r="FB18" s="5"/>
      <c r="FC18" s="29">
        <f t="shared" si="11"/>
        <v>1516676.089999998</v>
      </c>
      <c r="FD18" s="5"/>
      <c r="FE18" s="29">
        <f t="shared" si="12"/>
        <v>2192428.7200000007</v>
      </c>
      <c r="FF18" s="5"/>
      <c r="FG18" s="29">
        <v>-833917.9300000004</v>
      </c>
      <c r="FH18" s="5"/>
      <c r="FI18" s="29">
        <f t="shared" si="13"/>
        <v>-469989.93999999762</v>
      </c>
      <c r="FJ18" s="5"/>
      <c r="FK18" s="29">
        <f t="shared" si="14"/>
        <v>-394127.07000000123</v>
      </c>
      <c r="FL18" s="5"/>
      <c r="FM18" s="29">
        <f t="shared" si="15"/>
        <v>-304515.53999999911</v>
      </c>
      <c r="FN18" s="5"/>
      <c r="FO18" s="29">
        <f t="shared" si="16"/>
        <v>-369608.56000000215</v>
      </c>
      <c r="FP18" s="5"/>
      <c r="FQ18" s="29">
        <f t="shared" si="17"/>
        <v>-830704.34999999846</v>
      </c>
      <c r="FR18" s="5"/>
      <c r="FS18" s="29">
        <f t="shared" si="18"/>
        <v>-551822.66000000155</v>
      </c>
      <c r="FT18" s="5"/>
      <c r="FU18" s="29">
        <f t="shared" si="19"/>
        <v>-1000656</v>
      </c>
      <c r="FV18" s="5"/>
      <c r="FW18" s="29">
        <f t="shared" si="19"/>
        <v>-346771.6400000006</v>
      </c>
      <c r="FX18" s="5"/>
      <c r="FY18" s="29">
        <f t="shared" si="19"/>
        <v>-2335612.9999999991</v>
      </c>
      <c r="FZ18" s="5"/>
      <c r="GA18" s="29">
        <f t="shared" si="20"/>
        <v>895735.9299999997</v>
      </c>
      <c r="GB18" s="5"/>
      <c r="GC18" s="29">
        <f t="shared" si="21"/>
        <v>441243.6100000001</v>
      </c>
      <c r="GD18" s="5"/>
      <c r="GE18" s="29">
        <f t="shared" si="21"/>
        <v>-17144.229999999836</v>
      </c>
      <c r="GF18" s="5"/>
      <c r="GG18" s="29">
        <f t="shared" si="21"/>
        <v>4988.0299999999115</v>
      </c>
      <c r="GH18" s="5"/>
      <c r="GI18" s="29">
        <f t="shared" si="22"/>
        <v>12156.199999999924</v>
      </c>
      <c r="GJ18" s="5"/>
      <c r="GK18" s="29">
        <f t="shared" si="23"/>
        <v>787953.69</v>
      </c>
      <c r="GL18" s="5"/>
      <c r="GM18" s="29">
        <f t="shared" si="23"/>
        <v>-502406.35000000009</v>
      </c>
      <c r="GN18" s="5"/>
      <c r="GO18" s="29">
        <f t="shared" si="24"/>
        <v>71563.310000000056</v>
      </c>
      <c r="GP18" s="5"/>
      <c r="GQ18" s="29">
        <f t="shared" si="25"/>
        <v>-378190.31000000006</v>
      </c>
      <c r="GR18" s="5"/>
      <c r="GS18" s="29">
        <f t="shared" si="26"/>
        <v>-117406.54999999935</v>
      </c>
      <c r="GT18" s="5"/>
      <c r="GU18" s="29">
        <f t="shared" si="26"/>
        <v>-153541.36000000034</v>
      </c>
    </row>
    <row r="19" spans="1:203">
      <c r="A19" s="96" t="s">
        <v>71</v>
      </c>
      <c r="C19" s="29"/>
      <c r="E19" s="29"/>
      <c r="G19" s="29"/>
      <c r="I19" s="29">
        <v>-10515055.999999998</v>
      </c>
      <c r="K19" s="29">
        <v>-21168605.620000001</v>
      </c>
      <c r="M19" s="29">
        <v>-20389195</v>
      </c>
      <c r="O19" s="29">
        <v>-17112762</v>
      </c>
      <c r="Q19" s="29">
        <v>-4878666.9999999991</v>
      </c>
      <c r="S19" s="29">
        <v>-8883221.5799999982</v>
      </c>
      <c r="U19" s="29">
        <v>-5483944.0000000009</v>
      </c>
      <c r="W19" s="29">
        <v>-2211522</v>
      </c>
      <c r="Y19" s="29">
        <v>-1384451.9999999998</v>
      </c>
      <c r="AA19" s="29">
        <v>-1469455.0200000014</v>
      </c>
      <c r="AC19" s="29">
        <v>-1511359.0000000005</v>
      </c>
      <c r="AE19" s="29">
        <v>-689472</v>
      </c>
      <c r="AG19" s="29">
        <v>-712823.00000000012</v>
      </c>
      <c r="AI19" s="29">
        <v>-2283140.9999999991</v>
      </c>
      <c r="AK19" s="29">
        <v>-2283140.9999999995</v>
      </c>
      <c r="AM19" s="29">
        <v>-2283141</v>
      </c>
      <c r="AO19" s="29">
        <v>-1072732.9999999998</v>
      </c>
      <c r="AQ19" s="29">
        <v>-1818644.0000000002</v>
      </c>
      <c r="AS19" s="29">
        <v>-1794058.9999999998</v>
      </c>
      <c r="AU19" s="29">
        <v>-1211444</v>
      </c>
      <c r="AW19" s="29">
        <v>-548939.99999999988</v>
      </c>
      <c r="AY19" s="29">
        <v>-3080365.83</v>
      </c>
      <c r="BA19" s="29">
        <v>-3076140.8200000003</v>
      </c>
      <c r="BC19" s="29">
        <v>-2635231.8199999998</v>
      </c>
      <c r="BE19" s="29">
        <v>-1185306.8200000003</v>
      </c>
      <c r="BG19" s="29">
        <v>154451.00000000017</v>
      </c>
      <c r="BI19" s="29">
        <v>154450.99999999988</v>
      </c>
      <c r="BK19" s="29">
        <v>154451.00000000006</v>
      </c>
      <c r="BM19" s="29">
        <v>154451.00000000006</v>
      </c>
      <c r="BO19" s="29">
        <v>154451.00000000017</v>
      </c>
      <c r="BQ19" s="29">
        <v>154451</v>
      </c>
      <c r="BS19" s="29">
        <v>-14041.000000000087</v>
      </c>
      <c r="BU19" s="29">
        <v>-933746.94</v>
      </c>
      <c r="BW19" s="29">
        <v>-898678.00000000012</v>
      </c>
      <c r="BY19" s="29">
        <v>-856555.00000000012</v>
      </c>
      <c r="CA19" s="29">
        <v>-814432</v>
      </c>
      <c r="CC19" s="29">
        <v>-771364.24</v>
      </c>
      <c r="CE19" s="29">
        <v>403177.31999999995</v>
      </c>
      <c r="CG19" s="29">
        <v>-300222.16000000003</v>
      </c>
      <c r="CI19" s="29">
        <v>-182613</v>
      </c>
      <c r="CK19" s="29">
        <v>-328506.49609083694</v>
      </c>
      <c r="CM19" s="29">
        <v>-935826.99369083706</v>
      </c>
      <c r="CO19" s="29">
        <v>-935825.99609083694</v>
      </c>
      <c r="CQ19" s="29">
        <v>-849788.9897712894</v>
      </c>
      <c r="CS19" s="29">
        <v>-183685.82478515315</v>
      </c>
      <c r="CU19" s="29">
        <v>-230122.99667599011</v>
      </c>
      <c r="CW19" s="29">
        <v>-112287.05847599007</v>
      </c>
      <c r="CY19" s="29"/>
      <c r="DA19" s="29"/>
      <c r="DC19" s="29"/>
      <c r="DD19" s="5"/>
      <c r="DE19" s="29"/>
      <c r="DF19" s="5"/>
      <c r="DG19" s="29"/>
      <c r="DH19" s="5"/>
      <c r="DI19" s="29">
        <f t="shared" si="27"/>
        <v>-10515055.999999998</v>
      </c>
      <c r="DJ19" s="5"/>
      <c r="DK19" s="29">
        <f t="shared" si="28"/>
        <v>-779410.62000000104</v>
      </c>
      <c r="DL19" s="5"/>
      <c r="DM19" s="29">
        <f t="shared" si="28"/>
        <v>-3276433</v>
      </c>
      <c r="DN19" s="5"/>
      <c r="DO19" s="29">
        <f t="shared" si="28"/>
        <v>-12234095</v>
      </c>
      <c r="DP19" s="5"/>
      <c r="DQ19" s="29">
        <f t="shared" si="29"/>
        <v>-4878666.9999999991</v>
      </c>
      <c r="DR19" s="5"/>
      <c r="DS19" s="29">
        <f t="shared" si="30"/>
        <v>-3399277.5799999973</v>
      </c>
      <c r="DT19" s="5"/>
      <c r="DU19" s="29">
        <f t="shared" si="30"/>
        <v>-3272422.0000000009</v>
      </c>
      <c r="DV19" s="5"/>
      <c r="DW19" s="29">
        <f t="shared" si="30"/>
        <v>-827070.00000000023</v>
      </c>
      <c r="DX19" s="5"/>
      <c r="DY19" s="29">
        <f t="shared" si="31"/>
        <v>-1384451.9999999998</v>
      </c>
      <c r="DZ19" s="5"/>
      <c r="EA19" s="29">
        <f t="shared" si="0"/>
        <v>41903.97999999905</v>
      </c>
      <c r="EB19" s="5"/>
      <c r="EC19" s="29">
        <f t="shared" si="1"/>
        <v>-821887.00000000047</v>
      </c>
      <c r="ED19" s="5"/>
      <c r="EE19" s="29">
        <f t="shared" si="3"/>
        <v>23351.000000000116</v>
      </c>
      <c r="EF19" s="5"/>
      <c r="EG19" s="29">
        <f t="shared" si="4"/>
        <v>-712823.00000000012</v>
      </c>
      <c r="EH19" s="5"/>
      <c r="EI19" s="29">
        <f t="shared" si="2"/>
        <v>0</v>
      </c>
      <c r="EJ19" s="5"/>
      <c r="EK19" s="29">
        <f t="shared" si="2"/>
        <v>0</v>
      </c>
      <c r="EL19" s="5"/>
      <c r="EM19" s="29">
        <f t="shared" si="5"/>
        <v>-1210408.0000000002</v>
      </c>
      <c r="EN19" s="5"/>
      <c r="EO19" s="29">
        <f t="shared" si="6"/>
        <v>-1072732.9999999998</v>
      </c>
      <c r="EP19" s="5"/>
      <c r="EQ19" s="29">
        <f t="shared" si="32"/>
        <v>-24585.000000000466</v>
      </c>
      <c r="ER19" s="5"/>
      <c r="ES19" s="29">
        <f t="shared" si="33"/>
        <v>-582614.99999999977</v>
      </c>
      <c r="ET19" s="5"/>
      <c r="EU19" s="29">
        <f t="shared" si="34"/>
        <v>-662504.00000000012</v>
      </c>
      <c r="EV19" s="5"/>
      <c r="EW19" s="29">
        <f t="shared" si="10"/>
        <v>-548939.99999999988</v>
      </c>
      <c r="EX19" s="5"/>
      <c r="EY19" s="29">
        <f t="shared" si="11"/>
        <v>-4225.0099999997765</v>
      </c>
      <c r="EZ19" s="5"/>
      <c r="FA19" s="29">
        <f t="shared" si="11"/>
        <v>-440909.00000000047</v>
      </c>
      <c r="FB19" s="5"/>
      <c r="FC19" s="29">
        <f t="shared" si="11"/>
        <v>-1449924.9999999995</v>
      </c>
      <c r="FD19" s="5"/>
      <c r="FE19" s="29">
        <f t="shared" si="12"/>
        <v>-1185306.8200000003</v>
      </c>
      <c r="FF19" s="5"/>
      <c r="FG19" s="29">
        <v>2.8421709430404007E-10</v>
      </c>
      <c r="FH19" s="5"/>
      <c r="FI19" s="29">
        <f t="shared" si="13"/>
        <v>0</v>
      </c>
      <c r="FJ19" s="5"/>
      <c r="FK19" s="29">
        <f t="shared" si="14"/>
        <v>0</v>
      </c>
      <c r="FL19" s="5"/>
      <c r="FM19" s="29">
        <f t="shared" si="15"/>
        <v>0</v>
      </c>
      <c r="FN19" s="5"/>
      <c r="FO19" s="29">
        <f t="shared" si="16"/>
        <v>0</v>
      </c>
      <c r="FP19" s="5"/>
      <c r="FQ19" s="29">
        <f t="shared" si="17"/>
        <v>168492.00000000009</v>
      </c>
      <c r="FR19" s="5"/>
      <c r="FS19" s="29">
        <f t="shared" si="18"/>
        <v>-14041.000000000087</v>
      </c>
      <c r="FT19" s="5"/>
      <c r="FU19" s="29">
        <f t="shared" si="19"/>
        <v>-35068.939999999828</v>
      </c>
      <c r="FV19" s="5"/>
      <c r="FW19" s="29">
        <f t="shared" si="19"/>
        <v>-42123</v>
      </c>
      <c r="FX19" s="5"/>
      <c r="FY19" s="29">
        <f t="shared" si="19"/>
        <v>-42123.000000000116</v>
      </c>
      <c r="FZ19" s="5"/>
      <c r="GA19" s="29">
        <f t="shared" si="20"/>
        <v>-814432</v>
      </c>
      <c r="GB19" s="5"/>
      <c r="GC19" s="29">
        <f t="shared" si="21"/>
        <v>-1174541.56</v>
      </c>
      <c r="GD19" s="5"/>
      <c r="GE19" s="29">
        <f t="shared" si="21"/>
        <v>703399.48</v>
      </c>
      <c r="GF19" s="5"/>
      <c r="GG19" s="29">
        <f t="shared" si="21"/>
        <v>-117609.16000000003</v>
      </c>
      <c r="GH19" s="5"/>
      <c r="GI19" s="29">
        <f t="shared" si="22"/>
        <v>-182613</v>
      </c>
      <c r="GJ19" s="5"/>
      <c r="GK19" s="29">
        <f t="shared" si="23"/>
        <v>607320.49760000012</v>
      </c>
      <c r="GL19" s="5"/>
      <c r="GM19" s="29">
        <f t="shared" si="23"/>
        <v>-0.99760000011883676</v>
      </c>
      <c r="GN19" s="5"/>
      <c r="GO19" s="29">
        <f t="shared" si="24"/>
        <v>-86037.006319547538</v>
      </c>
      <c r="GP19" s="5"/>
      <c r="GQ19" s="29">
        <f t="shared" si="25"/>
        <v>-849788.9897712894</v>
      </c>
      <c r="GR19" s="5"/>
      <c r="GS19" s="29">
        <f t="shared" si="26"/>
        <v>46437.171890836966</v>
      </c>
      <c r="GT19" s="5"/>
      <c r="GU19" s="29">
        <f t="shared" si="26"/>
        <v>-117835.93820000005</v>
      </c>
    </row>
    <row r="20" spans="1:203">
      <c r="A20" s="96" t="s">
        <v>266</v>
      </c>
      <c r="C20" s="29"/>
      <c r="E20" s="29"/>
      <c r="G20" s="29"/>
      <c r="I20" s="29">
        <v>0</v>
      </c>
      <c r="K20" s="29">
        <v>936695.03</v>
      </c>
      <c r="M20" s="29">
        <v>936695.03</v>
      </c>
      <c r="O20" s="29">
        <v>579122.53</v>
      </c>
      <c r="Q20" s="29">
        <v>0</v>
      </c>
      <c r="S20" s="29">
        <v>843823.41</v>
      </c>
      <c r="U20" s="29">
        <v>651384.28</v>
      </c>
      <c r="W20" s="29">
        <v>546646.84</v>
      </c>
      <c r="Y20" s="29">
        <v>221251.87</v>
      </c>
      <c r="AA20" s="29">
        <v>604797.57999999996</v>
      </c>
      <c r="AC20" s="29">
        <v>623410.5</v>
      </c>
      <c r="AE20" s="29">
        <v>0</v>
      </c>
      <c r="AG20" s="29">
        <v>157563.59</v>
      </c>
      <c r="AI20" s="29">
        <v>569194.29</v>
      </c>
      <c r="AK20" s="29">
        <v>480638.21</v>
      </c>
      <c r="AM20" s="29">
        <v>480638.21</v>
      </c>
      <c r="AO20" s="29">
        <v>152678.06999999998</v>
      </c>
      <c r="AQ20" s="29">
        <v>391209.82</v>
      </c>
      <c r="AS20" s="29">
        <v>391209.81999999995</v>
      </c>
      <c r="AU20" s="29">
        <v>266228.53999999998</v>
      </c>
      <c r="AW20" s="29">
        <v>62400</v>
      </c>
      <c r="AY20" s="29">
        <v>4381649.4000000004</v>
      </c>
      <c r="BA20" s="29">
        <v>400418.1</v>
      </c>
      <c r="BC20" s="29">
        <v>115300.1</v>
      </c>
      <c r="BE20" s="29">
        <v>197300</v>
      </c>
      <c r="BG20" s="29">
        <v>6952546.8600000003</v>
      </c>
      <c r="BI20" s="29"/>
      <c r="BK20" s="29"/>
      <c r="BM20" s="29"/>
      <c r="BO20" s="29"/>
      <c r="BQ20" s="29"/>
      <c r="BS20" s="29"/>
      <c r="BU20" s="29"/>
      <c r="BW20" s="29"/>
      <c r="BY20" s="29"/>
      <c r="CA20" s="29"/>
      <c r="CC20" s="29"/>
      <c r="CE20" s="29"/>
      <c r="CG20" s="29"/>
      <c r="CI20" s="29"/>
      <c r="CK20" s="29"/>
      <c r="CM20" s="29"/>
      <c r="CO20" s="29"/>
      <c r="CQ20" s="29"/>
      <c r="CS20" s="29"/>
      <c r="CU20" s="29"/>
      <c r="CW20" s="29"/>
      <c r="CY20" s="29"/>
      <c r="DA20" s="29"/>
      <c r="DC20" s="29"/>
      <c r="DD20" s="5"/>
      <c r="DE20" s="29"/>
      <c r="DF20" s="5"/>
      <c r="DG20" s="29"/>
      <c r="DH20" s="5"/>
      <c r="DI20" s="29">
        <f t="shared" si="27"/>
        <v>0</v>
      </c>
      <c r="DJ20" s="5"/>
      <c r="DK20" s="29">
        <f t="shared" si="28"/>
        <v>0</v>
      </c>
      <c r="DL20" s="5"/>
      <c r="DM20" s="29">
        <f t="shared" si="28"/>
        <v>357572.5</v>
      </c>
      <c r="DN20" s="5"/>
      <c r="DO20" s="29">
        <f t="shared" si="28"/>
        <v>579122.53</v>
      </c>
      <c r="DP20" s="5"/>
      <c r="DQ20" s="29">
        <f t="shared" si="29"/>
        <v>0</v>
      </c>
      <c r="DR20" s="5"/>
      <c r="DS20" s="29">
        <f t="shared" si="30"/>
        <v>192439.13</v>
      </c>
      <c r="DT20" s="5"/>
      <c r="DU20" s="29">
        <f t="shared" si="30"/>
        <v>104737.44000000006</v>
      </c>
      <c r="DV20" s="5"/>
      <c r="DW20" s="29">
        <f t="shared" si="30"/>
        <v>325394.96999999997</v>
      </c>
      <c r="DX20" s="5"/>
      <c r="DY20" s="29">
        <f t="shared" si="31"/>
        <v>221251.87</v>
      </c>
      <c r="DZ20" s="5"/>
      <c r="EA20" s="29">
        <f t="shared" si="0"/>
        <v>-18612.920000000042</v>
      </c>
      <c r="EB20" s="5"/>
      <c r="EC20" s="29">
        <f t="shared" si="1"/>
        <v>623410.5</v>
      </c>
      <c r="ED20" s="5"/>
      <c r="EE20" s="29">
        <f t="shared" si="3"/>
        <v>-157563.59</v>
      </c>
      <c r="EF20" s="5"/>
      <c r="EG20" s="29">
        <f t="shared" si="4"/>
        <v>157563.59</v>
      </c>
      <c r="EH20" s="5"/>
      <c r="EI20" s="29">
        <f t="shared" si="2"/>
        <v>88556.080000000016</v>
      </c>
      <c r="EJ20" s="5"/>
      <c r="EK20" s="29">
        <f t="shared" si="2"/>
        <v>0</v>
      </c>
      <c r="EL20" s="5"/>
      <c r="EM20" s="29">
        <f t="shared" si="5"/>
        <v>327960.14</v>
      </c>
      <c r="EN20" s="5"/>
      <c r="EO20" s="29">
        <f t="shared" si="6"/>
        <v>152678.06999999998</v>
      </c>
      <c r="EP20" s="5"/>
      <c r="EQ20" s="29">
        <f t="shared" si="32"/>
        <v>0</v>
      </c>
      <c r="ER20" s="5"/>
      <c r="ES20" s="29">
        <f t="shared" si="33"/>
        <v>124981.27999999997</v>
      </c>
      <c r="ET20" s="5"/>
      <c r="EU20" s="29">
        <f t="shared" si="34"/>
        <v>203828.53999999998</v>
      </c>
      <c r="EV20" s="5"/>
      <c r="EW20" s="29">
        <f t="shared" si="10"/>
        <v>62400</v>
      </c>
      <c r="EX20" s="5"/>
      <c r="EY20" s="29">
        <f t="shared" si="11"/>
        <v>3981231.3000000003</v>
      </c>
      <c r="EZ20" s="5"/>
      <c r="FA20" s="29">
        <f t="shared" si="11"/>
        <v>285118</v>
      </c>
      <c r="FB20" s="5"/>
      <c r="FC20" s="29">
        <f t="shared" si="11"/>
        <v>-81999.899999999994</v>
      </c>
      <c r="FD20" s="5"/>
      <c r="FE20" s="29"/>
      <c r="FF20" s="5"/>
      <c r="FG20" s="29">
        <v>93851.63</v>
      </c>
      <c r="FH20" s="5"/>
      <c r="FI20" s="29"/>
      <c r="FJ20" s="5"/>
      <c r="FK20" s="29"/>
      <c r="FL20" s="5"/>
      <c r="FM20" s="29"/>
      <c r="FN20" s="5"/>
      <c r="FO20" s="29"/>
      <c r="FP20" s="5"/>
      <c r="FQ20" s="29"/>
      <c r="FR20" s="5"/>
      <c r="FS20" s="29"/>
      <c r="FT20" s="5"/>
      <c r="FU20" s="29"/>
      <c r="FV20" s="5"/>
      <c r="FW20" s="29"/>
      <c r="FX20" s="5"/>
      <c r="FY20" s="29"/>
      <c r="FZ20" s="5"/>
      <c r="GA20" s="29"/>
      <c r="GB20" s="5"/>
      <c r="GC20" s="29"/>
      <c r="GD20" s="5"/>
      <c r="GE20" s="29"/>
      <c r="GF20" s="5"/>
      <c r="GG20" s="29"/>
      <c r="GH20" s="5"/>
      <c r="GI20" s="29"/>
      <c r="GJ20" s="5"/>
      <c r="GK20" s="29"/>
      <c r="GL20" s="5"/>
      <c r="GM20" s="29"/>
      <c r="GN20" s="5"/>
      <c r="GO20" s="29"/>
      <c r="GP20" s="5"/>
      <c r="GQ20" s="29"/>
      <c r="GR20" s="5"/>
      <c r="GS20" s="29"/>
      <c r="GT20" s="5"/>
      <c r="GU20" s="29"/>
    </row>
    <row r="21" spans="1:203">
      <c r="A21" s="96" t="s">
        <v>101</v>
      </c>
      <c r="C21" s="29"/>
      <c r="E21" s="29"/>
      <c r="G21" s="29"/>
      <c r="I21" s="29">
        <v>0</v>
      </c>
      <c r="K21" s="29">
        <v>802485.99</v>
      </c>
      <c r="M21" s="29">
        <v>802485.99</v>
      </c>
      <c r="O21" s="29">
        <v>802485.99</v>
      </c>
      <c r="Q21" s="29">
        <v>972078.05</v>
      </c>
      <c r="S21" s="29">
        <v>375822.70999999996</v>
      </c>
      <c r="U21" s="29">
        <v>1212693.1600000001</v>
      </c>
      <c r="W21" s="29">
        <v>1647828.16</v>
      </c>
      <c r="Y21" s="29">
        <v>1448460.72</v>
      </c>
      <c r="AA21" s="29">
        <v>-460869.51999999979</v>
      </c>
      <c r="AC21" s="29">
        <v>795440.26000000013</v>
      </c>
      <c r="AE21" s="29">
        <v>768347.63000000012</v>
      </c>
      <c r="AG21" s="29">
        <v>19932.39</v>
      </c>
      <c r="AI21" s="29">
        <v>1108980.54</v>
      </c>
      <c r="AK21" s="29">
        <v>0</v>
      </c>
      <c r="AM21" s="29">
        <v>0</v>
      </c>
      <c r="AO21" s="29">
        <v>0</v>
      </c>
      <c r="AQ21" s="29">
        <v>0</v>
      </c>
      <c r="AS21" s="29"/>
      <c r="AU21" s="29">
        <v>0</v>
      </c>
      <c r="AW21" s="29">
        <v>0</v>
      </c>
      <c r="AY21" s="29">
        <v>-877327.29</v>
      </c>
      <c r="BA21" s="29">
        <v>-877327.28999999654</v>
      </c>
      <c r="BC21" s="29">
        <v>-877327.29</v>
      </c>
      <c r="BE21" s="29">
        <v>-877327.29</v>
      </c>
      <c r="BG21" s="29">
        <v>0</v>
      </c>
      <c r="BI21" s="29">
        <v>0</v>
      </c>
      <c r="BK21" s="29">
        <v>0</v>
      </c>
      <c r="BM21" s="29">
        <v>0</v>
      </c>
      <c r="BO21" s="29">
        <v>0</v>
      </c>
      <c r="BQ21" s="29">
        <v>0</v>
      </c>
      <c r="BS21" s="29">
        <v>0</v>
      </c>
      <c r="BU21" s="29">
        <v>255225.8</v>
      </c>
      <c r="BW21" s="29"/>
      <c r="BY21" s="29">
        <v>0</v>
      </c>
      <c r="CA21" s="29"/>
      <c r="CC21" s="29">
        <v>0</v>
      </c>
      <c r="CE21" s="29">
        <v>-538515.16</v>
      </c>
      <c r="CG21" s="29">
        <v>0</v>
      </c>
      <c r="CI21" s="29">
        <v>0</v>
      </c>
      <c r="CK21" s="29">
        <v>-102132.55000000002</v>
      </c>
      <c r="CM21" s="29">
        <v>0</v>
      </c>
      <c r="CO21" s="29">
        <v>0</v>
      </c>
      <c r="CQ21" s="29">
        <v>0</v>
      </c>
      <c r="CS21" s="29">
        <v>-313479.78465093661</v>
      </c>
      <c r="CU21" s="29">
        <v>31623.61</v>
      </c>
      <c r="CW21" s="29">
        <v>21082.41</v>
      </c>
      <c r="CY21" s="29"/>
      <c r="DA21" s="29"/>
      <c r="DC21" s="29"/>
      <c r="DD21" s="5"/>
      <c r="DE21" s="29"/>
      <c r="DF21" s="5"/>
      <c r="DG21" s="29"/>
      <c r="DH21" s="5"/>
      <c r="DI21" s="29">
        <f t="shared" si="27"/>
        <v>0</v>
      </c>
      <c r="DJ21" s="5"/>
      <c r="DK21" s="29">
        <f t="shared" si="28"/>
        <v>0</v>
      </c>
      <c r="DL21" s="5"/>
      <c r="DM21" s="29">
        <f t="shared" si="28"/>
        <v>0</v>
      </c>
      <c r="DN21" s="5"/>
      <c r="DO21" s="29">
        <f t="shared" si="28"/>
        <v>-169592.06000000006</v>
      </c>
      <c r="DP21" s="5"/>
      <c r="DQ21" s="29">
        <f t="shared" si="29"/>
        <v>972078.05</v>
      </c>
      <c r="DR21" s="5"/>
      <c r="DS21" s="29">
        <f t="shared" si="30"/>
        <v>-836870.45000000019</v>
      </c>
      <c r="DT21" s="5"/>
      <c r="DU21" s="29">
        <f t="shared" si="30"/>
        <v>-435134.99999999977</v>
      </c>
      <c r="DV21" s="5"/>
      <c r="DW21" s="29">
        <f t="shared" si="30"/>
        <v>199367.43999999994</v>
      </c>
      <c r="DX21" s="5"/>
      <c r="DY21" s="29">
        <f t="shared" si="31"/>
        <v>1448460.72</v>
      </c>
      <c r="DZ21" s="5"/>
      <c r="EA21" s="29">
        <f t="shared" si="0"/>
        <v>-1256309.7799999998</v>
      </c>
      <c r="EB21" s="5"/>
      <c r="EC21" s="29">
        <f t="shared" si="1"/>
        <v>27092.630000000005</v>
      </c>
      <c r="ED21" s="5"/>
      <c r="EE21" s="29">
        <f t="shared" si="3"/>
        <v>748415.24000000011</v>
      </c>
      <c r="EF21" s="5"/>
      <c r="EG21" s="29">
        <f t="shared" si="4"/>
        <v>19932.39</v>
      </c>
      <c r="EH21" s="5"/>
      <c r="EI21" s="29">
        <f t="shared" si="2"/>
        <v>1108980.54</v>
      </c>
      <c r="EJ21" s="5"/>
      <c r="EK21" s="29">
        <f t="shared" si="2"/>
        <v>0</v>
      </c>
      <c r="EL21" s="5"/>
      <c r="EM21" s="29">
        <f t="shared" si="5"/>
        <v>0</v>
      </c>
      <c r="EN21" s="5"/>
      <c r="EO21" s="29">
        <f t="shared" si="6"/>
        <v>0</v>
      </c>
      <c r="EP21" s="5"/>
      <c r="EQ21" s="29">
        <f t="shared" si="32"/>
        <v>0</v>
      </c>
      <c r="ER21" s="5"/>
      <c r="ES21" s="29">
        <f t="shared" si="33"/>
        <v>0</v>
      </c>
      <c r="ET21" s="5"/>
      <c r="EU21" s="29">
        <f t="shared" si="34"/>
        <v>0</v>
      </c>
      <c r="EV21" s="5"/>
      <c r="EW21" s="29">
        <f t="shared" ref="EW21:EW22" si="35">AW21</f>
        <v>0</v>
      </c>
      <c r="EX21" s="5"/>
      <c r="EY21" s="29">
        <f t="shared" si="11"/>
        <v>-3.4924596548080444E-9</v>
      </c>
      <c r="EZ21" s="5"/>
      <c r="FA21" s="29">
        <f t="shared" si="11"/>
        <v>3.4924596548080444E-9</v>
      </c>
      <c r="FB21" s="5"/>
      <c r="FC21" s="29">
        <f t="shared" si="11"/>
        <v>0</v>
      </c>
      <c r="FD21" s="5"/>
      <c r="FE21" s="29">
        <f t="shared" si="12"/>
        <v>-877327.29</v>
      </c>
      <c r="FF21" s="5"/>
      <c r="FG21" s="29">
        <f t="shared" ref="FG21" si="36">BG21-BI21</f>
        <v>0</v>
      </c>
      <c r="FH21" s="5"/>
      <c r="FI21" s="29">
        <f t="shared" si="13"/>
        <v>0</v>
      </c>
      <c r="FJ21" s="5"/>
      <c r="FK21" s="29">
        <f t="shared" si="14"/>
        <v>0</v>
      </c>
      <c r="FL21" s="5"/>
      <c r="FM21" s="29">
        <f t="shared" si="15"/>
        <v>0</v>
      </c>
      <c r="FN21" s="5"/>
      <c r="FO21" s="29">
        <f t="shared" si="16"/>
        <v>0</v>
      </c>
      <c r="FP21" s="5"/>
      <c r="FQ21" s="29">
        <f t="shared" si="17"/>
        <v>0</v>
      </c>
      <c r="FR21" s="5"/>
      <c r="FS21" s="29">
        <f t="shared" si="18"/>
        <v>0</v>
      </c>
      <c r="FT21" s="5"/>
      <c r="FU21" s="29">
        <f t="shared" si="19"/>
        <v>255225.8</v>
      </c>
      <c r="FV21" s="5"/>
      <c r="FW21" s="29">
        <f t="shared" si="19"/>
        <v>0</v>
      </c>
      <c r="FX21" s="5"/>
      <c r="FY21" s="29">
        <f t="shared" si="19"/>
        <v>0</v>
      </c>
      <c r="FZ21" s="5"/>
      <c r="GA21" s="29">
        <f t="shared" si="20"/>
        <v>0</v>
      </c>
      <c r="GB21" s="5"/>
      <c r="GC21" s="29">
        <f t="shared" si="21"/>
        <v>538515.16</v>
      </c>
      <c r="GD21" s="5"/>
      <c r="GE21" s="29">
        <f t="shared" si="21"/>
        <v>-538515.16</v>
      </c>
      <c r="GF21" s="5"/>
      <c r="GG21" s="29">
        <f t="shared" si="21"/>
        <v>0</v>
      </c>
      <c r="GH21" s="5"/>
      <c r="GI21" s="29">
        <f t="shared" si="22"/>
        <v>0</v>
      </c>
      <c r="GJ21" s="5"/>
      <c r="GK21" s="29">
        <f t="shared" si="23"/>
        <v>-102132.55000000002</v>
      </c>
      <c r="GL21" s="5"/>
      <c r="GM21" s="29">
        <f t="shared" si="23"/>
        <v>0</v>
      </c>
      <c r="GN21" s="5"/>
      <c r="GO21" s="29">
        <f t="shared" si="24"/>
        <v>0</v>
      </c>
      <c r="GP21" s="5"/>
      <c r="GQ21" s="29">
        <f t="shared" si="25"/>
        <v>0</v>
      </c>
      <c r="GR21" s="5"/>
      <c r="GS21" s="29">
        <f t="shared" si="26"/>
        <v>-345103.39465093659</v>
      </c>
      <c r="GT21" s="5"/>
      <c r="GU21" s="29">
        <f t="shared" si="26"/>
        <v>10541.2</v>
      </c>
    </row>
    <row r="22" spans="1:203" s="39" customFormat="1" ht="13">
      <c r="A22" s="37" t="s">
        <v>102</v>
      </c>
      <c r="B22" s="105"/>
      <c r="C22" s="104"/>
      <c r="D22" s="105"/>
      <c r="E22" s="104"/>
      <c r="F22" s="105"/>
      <c r="G22" s="104"/>
      <c r="H22" s="105"/>
      <c r="I22" s="104">
        <f>I5+I6</f>
        <v>102732124.63000004</v>
      </c>
      <c r="J22" s="105"/>
      <c r="K22" s="104">
        <f>K5+K6</f>
        <v>52581543.735799946</v>
      </c>
      <c r="L22" s="105"/>
      <c r="M22" s="104">
        <f>M5+M6</f>
        <v>34636611.095800035</v>
      </c>
      <c r="N22" s="105"/>
      <c r="O22" s="104">
        <f>O5+O6</f>
        <v>26854216.275800016</v>
      </c>
      <c r="P22" s="105"/>
      <c r="Q22" s="104">
        <f>Q5+Q6</f>
        <v>87823889.345799983</v>
      </c>
      <c r="R22" s="105"/>
      <c r="S22" s="104">
        <f>S5+S6</f>
        <v>55722349.454200014</v>
      </c>
      <c r="T22" s="105"/>
      <c r="U22" s="104">
        <f>U5+U6</f>
        <v>13890677.520000041</v>
      </c>
      <c r="V22" s="105"/>
      <c r="W22" s="104">
        <f>W5+W6</f>
        <v>22597707.180000015</v>
      </c>
      <c r="X22" s="105"/>
      <c r="Y22" s="104">
        <f>Y5+Y6</f>
        <v>26857119.410000011</v>
      </c>
      <c r="Z22" s="105"/>
      <c r="AA22" s="104">
        <f>AA5+AA6</f>
        <v>-8348499.6899999958</v>
      </c>
      <c r="AB22" s="105"/>
      <c r="AC22" s="104">
        <f>AC5+AC6</f>
        <v>-6175642.8200000068</v>
      </c>
      <c r="AD22" s="105"/>
      <c r="AE22" s="104">
        <f>AE5+AE6</f>
        <v>-16689969.340000002</v>
      </c>
      <c r="AF22" s="105"/>
      <c r="AG22" s="104">
        <f>AG5+AG6</f>
        <v>18915972.840000007</v>
      </c>
      <c r="AH22" s="105"/>
      <c r="AI22" s="104">
        <f>AI5+AI6</f>
        <v>16154696.279999997</v>
      </c>
      <c r="AJ22" s="105"/>
      <c r="AK22" s="104">
        <f>AK5+AK6</f>
        <v>9737147.8000000007</v>
      </c>
      <c r="AL22" s="105"/>
      <c r="AM22" s="104">
        <f>AM5+AM6</f>
        <v>9383439.0100000016</v>
      </c>
      <c r="AN22" s="105"/>
      <c r="AO22" s="104">
        <f>AO5+AO6</f>
        <v>10931291.290000005</v>
      </c>
      <c r="AP22" s="105"/>
      <c r="AQ22" s="104">
        <f>AQ5+AQ6</f>
        <v>9903745.2999999933</v>
      </c>
      <c r="AR22" s="105"/>
      <c r="AS22" s="104">
        <f>AS5+AS6</f>
        <v>4882435.1479999889</v>
      </c>
      <c r="AT22" s="105"/>
      <c r="AU22" s="104">
        <f>AU5+AU6</f>
        <v>-5032135.3399999989</v>
      </c>
      <c r="AV22" s="105"/>
      <c r="AW22" s="104">
        <f>AW5+AW6</f>
        <v>10232772.130000003</v>
      </c>
      <c r="AX22" s="105"/>
      <c r="AY22" s="104">
        <f>AY5+AY6</f>
        <v>7440113.44000002</v>
      </c>
      <c r="AZ22" s="105"/>
      <c r="BA22" s="104">
        <f>BA5+BA6</f>
        <v>3619597.1200000206</v>
      </c>
      <c r="BB22" s="105"/>
      <c r="BC22" s="104">
        <f>BC5+BC6</f>
        <v>13538732.919999991</v>
      </c>
      <c r="BD22" s="105"/>
      <c r="BE22" s="104">
        <f>BE5+BE6</f>
        <v>27082236.219999991</v>
      </c>
      <c r="BF22" s="105"/>
      <c r="BG22" s="104">
        <f>BG5+BG6</f>
        <v>2118318.889999995</v>
      </c>
      <c r="BH22" s="105"/>
      <c r="BI22" s="104">
        <f>BI5+BI6</f>
        <v>-3143468.1100000022</v>
      </c>
      <c r="BJ22" s="105"/>
      <c r="BK22" s="104">
        <f>BK5+BK6</f>
        <v>-3526971.3400000101</v>
      </c>
      <c r="BL22" s="105"/>
      <c r="BM22" s="104">
        <f>BM5+BM6</f>
        <v>13231730.119999997</v>
      </c>
      <c r="BN22" s="105"/>
      <c r="BO22" s="104">
        <f>BO5+BO6</f>
        <v>-7036739.8999999957</v>
      </c>
      <c r="BP22" s="105"/>
      <c r="BQ22" s="104">
        <f>BQ5+BQ6</f>
        <v>-4519942.2999999942</v>
      </c>
      <c r="BR22" s="105"/>
      <c r="BS22" s="104">
        <f>BS5+BS6</f>
        <v>-4242876.6399999987</v>
      </c>
      <c r="BT22" s="105"/>
      <c r="BU22" s="104">
        <f>BU5+BU6</f>
        <v>-9331327.0899999924</v>
      </c>
      <c r="BV22" s="105"/>
      <c r="BW22" s="104">
        <f>BW5+BW6</f>
        <v>-16105443.579999991</v>
      </c>
      <c r="BX22" s="105"/>
      <c r="BY22" s="104">
        <f>BY5+BY6</f>
        <v>-12162575.609999999</v>
      </c>
      <c r="BZ22" s="105"/>
      <c r="CA22" s="104">
        <f>CA5+CA6</f>
        <v>-12485113.209999999</v>
      </c>
      <c r="CB22" s="105"/>
      <c r="CC22" s="104">
        <f>CC5+CC6</f>
        <v>5902357.3000000026</v>
      </c>
      <c r="CD22" s="105"/>
      <c r="CE22" s="104">
        <f>CE5+CE6</f>
        <v>-3572449.6300000059</v>
      </c>
      <c r="CF22" s="105"/>
      <c r="CG22" s="104">
        <f>CG5+CG6</f>
        <v>-17344915.029999997</v>
      </c>
      <c r="CH22" s="105"/>
      <c r="CI22" s="104">
        <f>CI5+CI6</f>
        <v>-12568676.640000001</v>
      </c>
      <c r="CJ22" s="105"/>
      <c r="CK22" s="104">
        <f>CK5+CK6</f>
        <v>11417272.612603284</v>
      </c>
      <c r="CL22" s="105"/>
      <c r="CM22" s="104">
        <f>CM5+CM6</f>
        <v>-14979193.583010923</v>
      </c>
      <c r="CN22" s="105"/>
      <c r="CO22" s="104">
        <f>CO5+CO6</f>
        <v>-10976630.716090826</v>
      </c>
      <c r="CP22" s="105"/>
      <c r="CQ22" s="104">
        <f>CQ5+CQ6</f>
        <v>-11904296.659771293</v>
      </c>
      <c r="CR22" s="105"/>
      <c r="CS22" s="104">
        <f>CS5+CS6</f>
        <v>4361499.3552148389</v>
      </c>
      <c r="CT22" s="105"/>
      <c r="CU22" s="104">
        <f>CU5+CU6</f>
        <v>-6594245.0481388047</v>
      </c>
      <c r="CV22" s="105"/>
      <c r="CW22" s="104">
        <f>CW5+CW6</f>
        <v>-7825182.8861178597</v>
      </c>
      <c r="CX22" s="105"/>
      <c r="CY22" s="104"/>
      <c r="CZ22" s="105"/>
      <c r="DA22" s="104"/>
      <c r="DB22" s="94"/>
      <c r="DC22" s="104"/>
      <c r="DD22" s="105"/>
      <c r="DE22" s="104"/>
      <c r="DF22" s="105"/>
      <c r="DG22" s="104"/>
      <c r="DH22" s="105"/>
      <c r="DI22" s="104">
        <f>DI5+DI6</f>
        <v>102732124.63000004</v>
      </c>
      <c r="DJ22" s="105"/>
      <c r="DK22" s="104">
        <f>DK5+DK6</f>
        <v>17944932.639999915</v>
      </c>
      <c r="DL22" s="105"/>
      <c r="DM22" s="104">
        <f>DM5+DM6</f>
        <v>7782394.8200000087</v>
      </c>
      <c r="DN22" s="105"/>
      <c r="DO22" s="104">
        <f>DO5+DO6</f>
        <v>-60969673.069999956</v>
      </c>
      <c r="DP22" s="105"/>
      <c r="DQ22" s="104">
        <f>DQ5+DQ6</f>
        <v>87823889.345799983</v>
      </c>
      <c r="DR22" s="105"/>
      <c r="DS22" s="104">
        <f>DS5+DS6</f>
        <v>41831671.934199974</v>
      </c>
      <c r="DT22" s="105"/>
      <c r="DU22" s="104">
        <f>DU5+DU6</f>
        <v>-8707029.6599999797</v>
      </c>
      <c r="DV22" s="105"/>
      <c r="DW22" s="104">
        <f>DW5+DW6</f>
        <v>-4259412.2299999949</v>
      </c>
      <c r="DX22" s="105"/>
      <c r="DY22" s="104">
        <f>DY5+DY6</f>
        <v>26857119.410000011</v>
      </c>
      <c r="DZ22" s="105"/>
      <c r="EA22" s="104">
        <f>EA5+EA6</f>
        <v>-2172856.8699999889</v>
      </c>
      <c r="EB22" s="105"/>
      <c r="EC22" s="104">
        <f>EC5+EC6</f>
        <v>10514326.519999996</v>
      </c>
      <c r="ED22" s="105"/>
      <c r="EE22" s="104">
        <f>EE5+EE6</f>
        <v>-35605942.180000007</v>
      </c>
      <c r="EF22" s="105"/>
      <c r="EG22" s="104">
        <f>EG5+EG6</f>
        <v>18915972.840000007</v>
      </c>
      <c r="EH22" s="105"/>
      <c r="EI22" s="104">
        <f>EI5+EI6</f>
        <v>6417548.4799999967</v>
      </c>
      <c r="EJ22" s="105"/>
      <c r="EK22" s="104">
        <f>EK5+EK6</f>
        <v>353708.78999999911</v>
      </c>
      <c r="EL22" s="105"/>
      <c r="EM22" s="104">
        <f>EM5+EM6</f>
        <v>-1547852.2800000017</v>
      </c>
      <c r="EN22" s="105"/>
      <c r="EO22" s="104">
        <f>EO5+EO6</f>
        <v>10931291.290000005</v>
      </c>
      <c r="EP22" s="105"/>
      <c r="EQ22" s="104">
        <f>AQ22-AS22</f>
        <v>5021310.1520000044</v>
      </c>
      <c r="ER22" s="105"/>
      <c r="ES22" s="104">
        <f t="shared" si="33"/>
        <v>9914570.4879999869</v>
      </c>
      <c r="ET22" s="105"/>
      <c r="EU22" s="104">
        <f t="shared" si="34"/>
        <v>-15264907.470000003</v>
      </c>
      <c r="EV22" s="105"/>
      <c r="EW22" s="104">
        <f t="shared" si="35"/>
        <v>10232772.130000003</v>
      </c>
      <c r="EX22" s="105"/>
      <c r="EY22" s="104">
        <f t="shared" si="11"/>
        <v>3820516.3199999994</v>
      </c>
      <c r="EZ22" s="105"/>
      <c r="FA22" s="104">
        <f t="shared" si="11"/>
        <v>-9919135.7999999709</v>
      </c>
      <c r="FB22" s="105"/>
      <c r="FC22" s="104">
        <f t="shared" si="11"/>
        <v>-13543503.300000001</v>
      </c>
      <c r="FD22" s="105"/>
      <c r="FE22" s="104">
        <f t="shared" si="12"/>
        <v>27082236.219999991</v>
      </c>
      <c r="FF22" s="105"/>
      <c r="FG22" s="104">
        <f>FG5+FG6</f>
        <v>6364027.7599999923</v>
      </c>
      <c r="FH22" s="105"/>
      <c r="FI22" s="104">
        <f t="shared" si="13"/>
        <v>383503.2300000079</v>
      </c>
      <c r="FJ22" s="105"/>
      <c r="FK22" s="104">
        <f t="shared" si="14"/>
        <v>-16758701.460000008</v>
      </c>
      <c r="FL22" s="105"/>
      <c r="FM22" s="104">
        <f t="shared" si="15"/>
        <v>20268470.019999992</v>
      </c>
      <c r="FN22" s="105"/>
      <c r="FO22" s="104">
        <f t="shared" si="16"/>
        <v>-2516797.6000000015</v>
      </c>
      <c r="FP22" s="105"/>
      <c r="FQ22" s="104">
        <f t="shared" si="17"/>
        <v>-277065.65999999549</v>
      </c>
      <c r="FR22" s="105"/>
      <c r="FS22" s="104">
        <f t="shared" si="18"/>
        <v>-4242876.6399999987</v>
      </c>
      <c r="FT22" s="105"/>
      <c r="FU22" s="104">
        <f t="shared" si="19"/>
        <v>6774116.4899999984</v>
      </c>
      <c r="FV22" s="105"/>
      <c r="FW22" s="104">
        <f t="shared" si="19"/>
        <v>-3942867.9699999914</v>
      </c>
      <c r="FX22" s="105"/>
      <c r="FY22" s="104">
        <f t="shared" si="19"/>
        <v>322537.59999999963</v>
      </c>
      <c r="FZ22" s="105"/>
      <c r="GA22" s="104">
        <f t="shared" si="20"/>
        <v>-12485113.209999999</v>
      </c>
      <c r="GB22" s="105"/>
      <c r="GC22" s="104">
        <f t="shared" si="21"/>
        <v>9474806.930000009</v>
      </c>
      <c r="GD22" s="105"/>
      <c r="GE22" s="104">
        <f t="shared" si="21"/>
        <v>13772465.399999991</v>
      </c>
      <c r="GF22" s="105"/>
      <c r="GG22" s="104">
        <f t="shared" si="21"/>
        <v>-4776238.3899999969</v>
      </c>
      <c r="GH22" s="105"/>
      <c r="GI22" s="104">
        <f t="shared" si="22"/>
        <v>-12568676.640000001</v>
      </c>
      <c r="GJ22" s="105"/>
      <c r="GK22" s="104">
        <f t="shared" si="23"/>
        <v>26396466.195614208</v>
      </c>
      <c r="GL22" s="105"/>
      <c r="GM22" s="104">
        <f t="shared" si="23"/>
        <v>-4002562.8669200968</v>
      </c>
      <c r="GN22" s="105"/>
      <c r="GO22" s="104">
        <f t="shared" si="24"/>
        <v>927665.94368046708</v>
      </c>
      <c r="GP22" s="105"/>
      <c r="GQ22" s="104">
        <f t="shared" si="25"/>
        <v>-11904296.659771293</v>
      </c>
      <c r="GR22" s="105"/>
      <c r="GS22" s="104">
        <f t="shared" si="26"/>
        <v>10955744.403353643</v>
      </c>
      <c r="GT22" s="105"/>
      <c r="GU22" s="104">
        <f t="shared" si="26"/>
        <v>1230937.837979055</v>
      </c>
    </row>
    <row r="23" spans="1:203">
      <c r="A23" s="38"/>
    </row>
    <row r="24" spans="1:203" ht="13">
      <c r="A24" s="106" t="s">
        <v>103</v>
      </c>
    </row>
    <row r="25" spans="1:203">
      <c r="A25" s="95" t="s">
        <v>104</v>
      </c>
    </row>
    <row r="26" spans="1:203">
      <c r="A26" s="38" t="s">
        <v>105</v>
      </c>
      <c r="C26" s="29"/>
      <c r="E26" s="29"/>
      <c r="G26" s="29"/>
      <c r="I26" s="29">
        <v>2419.0300001113119</v>
      </c>
      <c r="K26" s="29">
        <v>12123811.82</v>
      </c>
      <c r="M26" s="29">
        <v>6139872.0100000054</v>
      </c>
      <c r="O26" s="29">
        <v>3146080</v>
      </c>
      <c r="Q26" s="29">
        <v>0</v>
      </c>
      <c r="S26" s="29">
        <v>0</v>
      </c>
      <c r="U26" s="29">
        <v>0</v>
      </c>
      <c r="W26" s="29">
        <v>0</v>
      </c>
      <c r="Y26" s="29">
        <v>0.79999999026763446</v>
      </c>
      <c r="AA26" s="29">
        <v>5002925.1899999846</v>
      </c>
      <c r="AC26" s="29">
        <v>5002925.2299999995</v>
      </c>
      <c r="AE26" s="29">
        <v>5002925.1900000004</v>
      </c>
      <c r="AG26" s="29">
        <v>1039257.1100000005</v>
      </c>
      <c r="AI26" s="29">
        <v>67232.56</v>
      </c>
      <c r="AK26" s="29">
        <v>62218.860000000008</v>
      </c>
      <c r="AM26" s="29">
        <v>62218.66</v>
      </c>
      <c r="AO26" s="29">
        <v>8130.08</v>
      </c>
      <c r="AQ26" s="29">
        <v>189078.04</v>
      </c>
      <c r="AS26" s="29">
        <v>108300.81</v>
      </c>
      <c r="AU26" s="29">
        <v>90300.81</v>
      </c>
      <c r="AW26" s="29">
        <v>0</v>
      </c>
      <c r="AY26" s="29">
        <v>13414.63</v>
      </c>
      <c r="BA26" s="29">
        <v>13414.63</v>
      </c>
      <c r="BC26" s="29">
        <v>13414.63</v>
      </c>
      <c r="BE26" s="29">
        <v>13414.63</v>
      </c>
      <c r="BG26" s="29">
        <v>5186958.58</v>
      </c>
      <c r="BI26" s="29">
        <v>4956947.3199999994</v>
      </c>
      <c r="BK26" s="29">
        <v>4973160.91</v>
      </c>
      <c r="BM26" s="29">
        <v>4973160.91</v>
      </c>
      <c r="BO26" s="29">
        <v>3918253.5300000003</v>
      </c>
      <c r="BQ26" s="29">
        <v>3371287.6</v>
      </c>
      <c r="BS26" s="29">
        <v>3527672.08</v>
      </c>
      <c r="BU26" s="29">
        <v>1571288.88</v>
      </c>
      <c r="BW26" s="29">
        <v>1338498.3</v>
      </c>
      <c r="BY26" s="29">
        <v>967430</v>
      </c>
      <c r="CA26" s="29">
        <v>81.3</v>
      </c>
      <c r="CC26" s="29">
        <v>136530.29000000004</v>
      </c>
      <c r="CE26" s="29">
        <v>0</v>
      </c>
      <c r="CG26" s="29">
        <v>0</v>
      </c>
      <c r="CI26" s="29">
        <v>0</v>
      </c>
      <c r="CK26" s="29">
        <v>122719.11</v>
      </c>
      <c r="CM26" s="29">
        <v>181413.95</v>
      </c>
      <c r="CO26" s="29">
        <v>183837.81</v>
      </c>
      <c r="CQ26" s="29">
        <v>103350</v>
      </c>
      <c r="CS26" s="29">
        <v>96463.17</v>
      </c>
      <c r="CU26" s="29">
        <v>16540.650000000001</v>
      </c>
      <c r="CW26" s="29">
        <v>16540.650000000001</v>
      </c>
      <c r="CY26" s="29"/>
      <c r="DA26" s="29"/>
      <c r="DC26" s="29"/>
      <c r="DD26" s="5"/>
      <c r="DE26" s="29"/>
      <c r="DF26" s="5"/>
      <c r="DG26" s="29"/>
      <c r="DH26" s="5"/>
      <c r="DI26" s="29">
        <f t="shared" ref="DI26:DI35" si="37">I26</f>
        <v>2419.0300001113119</v>
      </c>
      <c r="DJ26" s="5"/>
      <c r="DK26" s="29">
        <f t="shared" ref="DK26:DO35" si="38">K26-M26</f>
        <v>5983939.8099999949</v>
      </c>
      <c r="DL26" s="5"/>
      <c r="DM26" s="29">
        <f t="shared" si="38"/>
        <v>2993792.0100000054</v>
      </c>
      <c r="DN26" s="5"/>
      <c r="DO26" s="29">
        <f t="shared" si="38"/>
        <v>3146080</v>
      </c>
      <c r="DP26" s="5"/>
      <c r="DQ26" s="29">
        <f t="shared" ref="DQ26:DQ35" si="39">Q26</f>
        <v>0</v>
      </c>
      <c r="DR26" s="5"/>
      <c r="DS26" s="29">
        <f t="shared" ref="DS26:DW35" si="40">S26-U26</f>
        <v>0</v>
      </c>
      <c r="DT26" s="5"/>
      <c r="DU26" s="29">
        <f t="shared" si="40"/>
        <v>0</v>
      </c>
      <c r="DV26" s="5"/>
      <c r="DW26" s="29">
        <f t="shared" si="40"/>
        <v>-0.79999999026763446</v>
      </c>
      <c r="DX26" s="5"/>
      <c r="DY26" s="29">
        <f t="shared" ref="DY26:DY35" si="41">Y26</f>
        <v>0.79999999026763446</v>
      </c>
      <c r="DZ26" s="5"/>
      <c r="EA26" s="29">
        <f t="shared" ref="EA26:EA35" si="42">AA26-AC26</f>
        <v>-4.0000014938414097E-2</v>
      </c>
      <c r="EB26" s="5"/>
      <c r="EC26" s="29">
        <f t="shared" ref="EC26:EC35" si="43">AC26-AE26</f>
        <v>3.9999999105930328E-2</v>
      </c>
      <c r="ED26" s="5"/>
      <c r="EE26" s="29">
        <f t="shared" ref="EE26:EE35" si="44">AE26-AG26</f>
        <v>3963668.08</v>
      </c>
      <c r="EF26" s="5"/>
      <c r="EG26" s="29">
        <f t="shared" ref="EG26:EG35" si="45">AG26</f>
        <v>1039257.1100000005</v>
      </c>
      <c r="EH26" s="5"/>
      <c r="EI26" s="29">
        <f t="shared" ref="EI26:EM35" si="46">AI26-AK26</f>
        <v>5013.6999999999898</v>
      </c>
      <c r="EJ26" s="5"/>
      <c r="EK26" s="29">
        <f t="shared" si="46"/>
        <v>0.20000000000436557</v>
      </c>
      <c r="EL26" s="5"/>
      <c r="EM26" s="29">
        <f t="shared" si="46"/>
        <v>54088.58</v>
      </c>
      <c r="EN26" s="5"/>
      <c r="EO26" s="29">
        <f t="shared" ref="EO26:EO35" si="47">AO26</f>
        <v>8130.08</v>
      </c>
      <c r="EP26" s="5"/>
      <c r="EQ26" s="29">
        <f t="shared" ref="EQ26:EQ35" si="48">AQ26-AS26</f>
        <v>80777.23000000001</v>
      </c>
      <c r="ER26" s="5"/>
      <c r="ES26" s="29">
        <f t="shared" ref="ES26:ES35" si="49">AS26-AU26</f>
        <v>18000</v>
      </c>
      <c r="ET26" s="5"/>
      <c r="EU26" s="29">
        <f t="shared" ref="EU26:EU35" si="50">AU26-AW26</f>
        <v>90300.81</v>
      </c>
      <c r="EV26" s="5"/>
      <c r="EW26" s="29">
        <f t="shared" ref="EW26:EW44" si="51">AW26</f>
        <v>0</v>
      </c>
      <c r="EX26" s="5"/>
      <c r="EY26" s="29">
        <f t="shared" ref="EY26:FC35" si="52">AY26-BA26</f>
        <v>0</v>
      </c>
      <c r="EZ26" s="5"/>
      <c r="FA26" s="29">
        <f t="shared" si="52"/>
        <v>0</v>
      </c>
      <c r="FB26" s="5"/>
      <c r="FC26" s="29">
        <f t="shared" si="52"/>
        <v>0</v>
      </c>
      <c r="FD26" s="5"/>
      <c r="FE26" s="29">
        <f t="shared" ref="FE26:FE44" si="53">BE26</f>
        <v>13414.63</v>
      </c>
      <c r="FF26" s="5"/>
      <c r="FG26" s="29">
        <v>230011.26000000112</v>
      </c>
      <c r="FH26" s="5"/>
      <c r="FI26" s="29">
        <f t="shared" ref="FI26:FI35" si="54">BI26-BK26</f>
        <v>-16213.590000000782</v>
      </c>
      <c r="FJ26" s="5"/>
      <c r="FK26" s="29">
        <f t="shared" ref="FK26:FK35" si="55">BK26-BM26</f>
        <v>0</v>
      </c>
      <c r="FL26" s="5"/>
      <c r="FM26" s="29">
        <f t="shared" ref="FM26:FM35" si="56">BM26-BO26</f>
        <v>1054907.3799999999</v>
      </c>
      <c r="FN26" s="5"/>
      <c r="FO26" s="29">
        <f t="shared" ref="FO26:FO35" si="57">BO26-BQ26</f>
        <v>546965.93000000017</v>
      </c>
      <c r="FP26" s="5"/>
      <c r="FQ26" s="29">
        <f t="shared" ref="FQ26:FQ35" si="58">BQ26-BS26</f>
        <v>-156384.47999999998</v>
      </c>
      <c r="FR26" s="5"/>
      <c r="FS26" s="29">
        <f t="shared" ref="FS26:FS35" si="59">BS26</f>
        <v>3527672.08</v>
      </c>
      <c r="FT26" s="5"/>
      <c r="FU26" s="29">
        <f t="shared" ref="FU26:FY35" si="60">BU26-BW26</f>
        <v>232790.57999999984</v>
      </c>
      <c r="FV26" s="5"/>
      <c r="FW26" s="29">
        <f t="shared" si="60"/>
        <v>371068.30000000005</v>
      </c>
      <c r="FX26" s="5"/>
      <c r="FY26" s="29">
        <f t="shared" si="60"/>
        <v>967348.7</v>
      </c>
      <c r="FZ26" s="5"/>
      <c r="GA26" s="29">
        <f t="shared" ref="GA26:GA35" si="61">CA26</f>
        <v>81.3</v>
      </c>
      <c r="GB26" s="5"/>
      <c r="GC26" s="29">
        <f t="shared" ref="GC26:GG35" si="62">CC26-CE26</f>
        <v>136530.29000000004</v>
      </c>
      <c r="GD26" s="5"/>
      <c r="GE26" s="29">
        <f t="shared" si="62"/>
        <v>0</v>
      </c>
      <c r="GF26" s="5"/>
      <c r="GG26" s="29">
        <f t="shared" si="62"/>
        <v>0</v>
      </c>
      <c r="GH26" s="5"/>
      <c r="GI26" s="29">
        <f t="shared" ref="GI26:GI35" si="63">CI26</f>
        <v>0</v>
      </c>
      <c r="GJ26" s="5"/>
      <c r="GK26" s="29">
        <f t="shared" ref="GK26:GM35" si="64">CK26-CM26</f>
        <v>-58694.840000000011</v>
      </c>
      <c r="GL26" s="5"/>
      <c r="GM26" s="29">
        <f t="shared" si="64"/>
        <v>-2423.859999999986</v>
      </c>
      <c r="GN26" s="5"/>
      <c r="GO26" s="29">
        <f t="shared" ref="GO26:GO35" si="65">CO26-CQ26</f>
        <v>80487.81</v>
      </c>
      <c r="GP26" s="5"/>
      <c r="GQ26" s="29">
        <f t="shared" ref="GQ26:GQ35" si="66">CQ26</f>
        <v>103350</v>
      </c>
      <c r="GR26" s="5"/>
      <c r="GS26" s="29">
        <f t="shared" ref="GS26:GU35" si="67">CS26-CU26</f>
        <v>79922.51999999999</v>
      </c>
      <c r="GT26" s="5"/>
      <c r="GU26" s="29">
        <f t="shared" si="67"/>
        <v>0</v>
      </c>
    </row>
    <row r="27" spans="1:203">
      <c r="A27" s="38" t="s">
        <v>106</v>
      </c>
      <c r="C27" s="29"/>
      <c r="E27" s="29"/>
      <c r="G27" s="29"/>
      <c r="I27" s="29">
        <v>0</v>
      </c>
      <c r="K27" s="29">
        <v>0</v>
      </c>
      <c r="M27" s="29">
        <v>0</v>
      </c>
      <c r="O27" s="29">
        <v>0</v>
      </c>
      <c r="Q27" s="29">
        <v>0</v>
      </c>
      <c r="S27" s="29">
        <v>0</v>
      </c>
      <c r="U27" s="29">
        <v>0</v>
      </c>
      <c r="W27" s="29">
        <v>0</v>
      </c>
      <c r="Y27" s="29">
        <v>0</v>
      </c>
      <c r="AA27" s="29">
        <v>0</v>
      </c>
      <c r="AC27" s="29">
        <v>0</v>
      </c>
      <c r="AE27" s="29">
        <v>0</v>
      </c>
      <c r="AG27" s="29">
        <v>0</v>
      </c>
      <c r="AI27" s="29">
        <v>0</v>
      </c>
      <c r="AK27" s="29">
        <v>0</v>
      </c>
      <c r="AM27" s="29">
        <v>0</v>
      </c>
      <c r="AO27" s="29">
        <v>0</v>
      </c>
      <c r="AQ27" s="29">
        <v>0</v>
      </c>
      <c r="AS27" s="29">
        <v>0</v>
      </c>
      <c r="AU27" s="29">
        <v>0</v>
      </c>
      <c r="AW27" s="29">
        <v>0</v>
      </c>
      <c r="AY27" s="29">
        <v>0</v>
      </c>
      <c r="BA27" s="29">
        <v>0</v>
      </c>
      <c r="BC27" s="29">
        <v>0</v>
      </c>
      <c r="BE27" s="29">
        <v>0</v>
      </c>
      <c r="BG27" s="29">
        <v>0</v>
      </c>
      <c r="BI27" s="29">
        <v>0</v>
      </c>
      <c r="BK27" s="29">
        <v>0</v>
      </c>
      <c r="BM27" s="29">
        <v>0</v>
      </c>
      <c r="BO27" s="29">
        <v>0</v>
      </c>
      <c r="BQ27" s="29">
        <v>0</v>
      </c>
      <c r="BS27" s="29">
        <v>0</v>
      </c>
      <c r="BU27" s="29">
        <v>0</v>
      </c>
      <c r="BW27" s="29">
        <v>0</v>
      </c>
      <c r="BY27" s="29">
        <v>0</v>
      </c>
      <c r="CA27" s="29">
        <v>0</v>
      </c>
      <c r="CC27" s="29">
        <v>0</v>
      </c>
      <c r="CE27" s="29">
        <v>0</v>
      </c>
      <c r="CG27" s="29">
        <v>0</v>
      </c>
      <c r="CI27" s="29">
        <v>0</v>
      </c>
      <c r="CK27" s="29">
        <v>0</v>
      </c>
      <c r="CM27" s="29">
        <v>0</v>
      </c>
      <c r="CO27" s="29">
        <v>0</v>
      </c>
      <c r="CQ27" s="29">
        <v>0</v>
      </c>
      <c r="CS27" s="29">
        <v>0</v>
      </c>
      <c r="CU27" s="29">
        <v>0</v>
      </c>
      <c r="CW27" s="29">
        <v>0</v>
      </c>
      <c r="CY27" s="29"/>
      <c r="DA27" s="29"/>
      <c r="DC27" s="29"/>
      <c r="DD27" s="5"/>
      <c r="DE27" s="29"/>
      <c r="DF27" s="5"/>
      <c r="DG27" s="29"/>
      <c r="DH27" s="5"/>
      <c r="DI27" s="29">
        <f t="shared" si="37"/>
        <v>0</v>
      </c>
      <c r="DJ27" s="5"/>
      <c r="DK27" s="29">
        <f t="shared" si="38"/>
        <v>0</v>
      </c>
      <c r="DL27" s="5"/>
      <c r="DM27" s="29">
        <f t="shared" si="38"/>
        <v>0</v>
      </c>
      <c r="DN27" s="5"/>
      <c r="DO27" s="29">
        <f t="shared" si="38"/>
        <v>0</v>
      </c>
      <c r="DP27" s="5"/>
      <c r="DQ27" s="29">
        <f t="shared" si="39"/>
        <v>0</v>
      </c>
      <c r="DR27" s="5"/>
      <c r="DS27" s="29">
        <f t="shared" si="40"/>
        <v>0</v>
      </c>
      <c r="DT27" s="5"/>
      <c r="DU27" s="29">
        <f t="shared" si="40"/>
        <v>0</v>
      </c>
      <c r="DV27" s="5"/>
      <c r="DW27" s="29">
        <f t="shared" si="40"/>
        <v>0</v>
      </c>
      <c r="DX27" s="5"/>
      <c r="DY27" s="29">
        <f t="shared" si="41"/>
        <v>0</v>
      </c>
      <c r="DZ27" s="5"/>
      <c r="EA27" s="29">
        <f t="shared" si="42"/>
        <v>0</v>
      </c>
      <c r="EB27" s="5"/>
      <c r="EC27" s="29">
        <f t="shared" si="43"/>
        <v>0</v>
      </c>
      <c r="ED27" s="5"/>
      <c r="EE27" s="29">
        <f t="shared" si="44"/>
        <v>0</v>
      </c>
      <c r="EF27" s="5"/>
      <c r="EG27" s="29">
        <f t="shared" si="45"/>
        <v>0</v>
      </c>
      <c r="EH27" s="5"/>
      <c r="EI27" s="29">
        <f t="shared" si="46"/>
        <v>0</v>
      </c>
      <c r="EJ27" s="5"/>
      <c r="EK27" s="29">
        <f t="shared" si="46"/>
        <v>0</v>
      </c>
      <c r="EL27" s="5"/>
      <c r="EM27" s="29">
        <f t="shared" si="46"/>
        <v>0</v>
      </c>
      <c r="EN27" s="5"/>
      <c r="EO27" s="29">
        <f t="shared" si="47"/>
        <v>0</v>
      </c>
      <c r="EP27" s="5"/>
      <c r="EQ27" s="29">
        <f t="shared" si="48"/>
        <v>0</v>
      </c>
      <c r="ER27" s="5"/>
      <c r="ES27" s="29">
        <f t="shared" si="49"/>
        <v>0</v>
      </c>
      <c r="ET27" s="5"/>
      <c r="EU27" s="29">
        <f t="shared" si="50"/>
        <v>0</v>
      </c>
      <c r="EV27" s="5"/>
      <c r="EW27" s="29">
        <f t="shared" si="51"/>
        <v>0</v>
      </c>
      <c r="EX27" s="5"/>
      <c r="EY27" s="29">
        <f t="shared" si="52"/>
        <v>0</v>
      </c>
      <c r="EZ27" s="5"/>
      <c r="FA27" s="29">
        <f t="shared" si="52"/>
        <v>0</v>
      </c>
      <c r="FB27" s="5"/>
      <c r="FC27" s="29">
        <f t="shared" si="52"/>
        <v>0</v>
      </c>
      <c r="FD27" s="5"/>
      <c r="FE27" s="29">
        <f t="shared" si="53"/>
        <v>0</v>
      </c>
      <c r="FF27" s="5"/>
      <c r="FG27" s="29">
        <v>0</v>
      </c>
      <c r="FH27" s="5"/>
      <c r="FI27" s="29">
        <f t="shared" si="54"/>
        <v>0</v>
      </c>
      <c r="FJ27" s="5"/>
      <c r="FK27" s="29">
        <f t="shared" si="55"/>
        <v>0</v>
      </c>
      <c r="FL27" s="5"/>
      <c r="FM27" s="29">
        <f t="shared" si="56"/>
        <v>0</v>
      </c>
      <c r="FN27" s="5"/>
      <c r="FO27" s="29">
        <f t="shared" si="57"/>
        <v>0</v>
      </c>
      <c r="FP27" s="5"/>
      <c r="FQ27" s="29">
        <f t="shared" si="58"/>
        <v>0</v>
      </c>
      <c r="FR27" s="5"/>
      <c r="FS27" s="29">
        <f t="shared" si="59"/>
        <v>0</v>
      </c>
      <c r="FT27" s="5"/>
      <c r="FU27" s="29">
        <f t="shared" si="60"/>
        <v>0</v>
      </c>
      <c r="FV27" s="5"/>
      <c r="FW27" s="29">
        <f t="shared" si="60"/>
        <v>0</v>
      </c>
      <c r="FX27" s="5"/>
      <c r="FY27" s="29">
        <f t="shared" si="60"/>
        <v>0</v>
      </c>
      <c r="FZ27" s="5"/>
      <c r="GA27" s="29">
        <f t="shared" si="61"/>
        <v>0</v>
      </c>
      <c r="GB27" s="5"/>
      <c r="GC27" s="29">
        <f t="shared" si="62"/>
        <v>0</v>
      </c>
      <c r="GD27" s="5"/>
      <c r="GE27" s="29">
        <f t="shared" si="62"/>
        <v>0</v>
      </c>
      <c r="GF27" s="5"/>
      <c r="GG27" s="29">
        <f t="shared" si="62"/>
        <v>0</v>
      </c>
      <c r="GH27" s="5"/>
      <c r="GI27" s="29">
        <f t="shared" si="63"/>
        <v>0</v>
      </c>
      <c r="GJ27" s="5"/>
      <c r="GK27" s="29">
        <f t="shared" si="64"/>
        <v>0</v>
      </c>
      <c r="GL27" s="5"/>
      <c r="GM27" s="29">
        <f t="shared" si="64"/>
        <v>0</v>
      </c>
      <c r="GN27" s="5"/>
      <c r="GO27" s="29">
        <f t="shared" si="65"/>
        <v>0</v>
      </c>
      <c r="GP27" s="5"/>
      <c r="GQ27" s="29">
        <f t="shared" si="66"/>
        <v>0</v>
      </c>
      <c r="GR27" s="5"/>
      <c r="GS27" s="29">
        <f t="shared" si="67"/>
        <v>0</v>
      </c>
      <c r="GT27" s="5"/>
      <c r="GU27" s="29">
        <f t="shared" si="67"/>
        <v>0</v>
      </c>
    </row>
    <row r="28" spans="1:203">
      <c r="A28" s="38" t="s">
        <v>107</v>
      </c>
      <c r="C28" s="29"/>
      <c r="E28" s="29"/>
      <c r="G28" s="29"/>
      <c r="I28" s="29">
        <f>SUM(I29:I33)</f>
        <v>0</v>
      </c>
      <c r="K28" s="29">
        <f>SUM(K29:K33)</f>
        <v>28339946.91</v>
      </c>
      <c r="M28" s="29">
        <f>SUM(M29:M33)</f>
        <v>23143445.399999999</v>
      </c>
      <c r="O28" s="29">
        <f>SUM(O29:O33)</f>
        <v>23143445.399999999</v>
      </c>
      <c r="Q28" s="29">
        <f>SUM(Q29:Q33)</f>
        <v>0</v>
      </c>
      <c r="S28" s="29">
        <f>SUM(S29:S33)</f>
        <v>2772377.59</v>
      </c>
      <c r="U28" s="29">
        <f>SUM(U29:U33)</f>
        <v>2515200</v>
      </c>
      <c r="W28" s="29">
        <v>371300</v>
      </c>
      <c r="Y28" s="29">
        <f>SUM(Y29:Y33)</f>
        <v>300000</v>
      </c>
      <c r="AA28" s="29">
        <v>1513549.49</v>
      </c>
      <c r="AC28" s="29">
        <v>771052.86</v>
      </c>
      <c r="AE28" s="29">
        <v>698056.96</v>
      </c>
      <c r="AG28" s="29">
        <v>4954.74</v>
      </c>
      <c r="AI28" s="29">
        <f>SUM(AI29:AI33)</f>
        <v>1751208.32</v>
      </c>
      <c r="AK28" s="29">
        <v>1745760.71</v>
      </c>
      <c r="AM28" s="29">
        <v>1740723.38</v>
      </c>
      <c r="AO28" s="29">
        <v>1585030.87</v>
      </c>
      <c r="AQ28" s="29">
        <v>626.55999999999995</v>
      </c>
      <c r="AS28" s="29">
        <v>467.43200000000002</v>
      </c>
      <c r="AU28" s="29">
        <v>185.48</v>
      </c>
      <c r="AW28" s="29">
        <v>0</v>
      </c>
      <c r="AY28" s="29">
        <v>339.48</v>
      </c>
      <c r="BA28" s="29">
        <v>-106.46</v>
      </c>
      <c r="BC28" s="29">
        <v>106.46</v>
      </c>
      <c r="BE28" s="29">
        <v>105.95</v>
      </c>
      <c r="BG28" s="29">
        <f>SUM(BG29:BG33)</f>
        <v>4000015.38</v>
      </c>
      <c r="BI28" s="29">
        <f>SUM(BI29:BI33)</f>
        <v>4000000</v>
      </c>
      <c r="BK28" s="29">
        <v>4000000</v>
      </c>
      <c r="BM28" s="29">
        <f>SUM(BM29:BM33)</f>
        <v>3570000</v>
      </c>
      <c r="BO28" s="29">
        <f>SUM(BO29:BO33)</f>
        <v>3570000</v>
      </c>
      <c r="BQ28" s="29">
        <f>SUM(BQ29:BQ33)</f>
        <v>3570000</v>
      </c>
      <c r="BS28" s="29">
        <f>SUM(BS29:BS33)</f>
        <v>3570000</v>
      </c>
      <c r="BU28" s="29">
        <f>SUM(BU29:BU33)</f>
        <v>0.17</v>
      </c>
      <c r="BW28" s="103">
        <f>SUM(BW29:BW33)</f>
        <v>0</v>
      </c>
      <c r="BY28" s="29">
        <f>SUM(BY29:BY33)</f>
        <v>0</v>
      </c>
      <c r="CA28" s="29">
        <f>SUM(CA29:CA33)</f>
        <v>0</v>
      </c>
      <c r="CC28" s="29">
        <f>SUM(CC29:CC33)</f>
        <v>0</v>
      </c>
      <c r="CE28" s="103">
        <f>SUM(CE29:CE33)</f>
        <v>0</v>
      </c>
      <c r="CG28" s="103">
        <f>SUM(CG29:CG33)</f>
        <v>0</v>
      </c>
      <c r="CI28" s="103">
        <f>SUM(CI29:CI33)</f>
        <v>0</v>
      </c>
      <c r="CK28" s="103">
        <f>SUM(CK29:CK33)</f>
        <v>251566.13</v>
      </c>
      <c r="CM28" s="103">
        <f>SUM(CM29:CM33)</f>
        <v>370901.36</v>
      </c>
      <c r="CO28" s="103">
        <f>SUM(CO29:CO33)</f>
        <v>250748.49</v>
      </c>
      <c r="CQ28" s="103">
        <f>SUM(CQ29:CQ33)</f>
        <v>0</v>
      </c>
      <c r="CS28" s="29">
        <v>2835620.5</v>
      </c>
      <c r="CU28" s="103">
        <f>SUM(CU29:CU33)</f>
        <v>500000</v>
      </c>
      <c r="CW28" s="103">
        <f>SUM(CW29:CW33)</f>
        <v>0</v>
      </c>
      <c r="CY28" s="29"/>
      <c r="DA28" s="29"/>
      <c r="DC28" s="29"/>
      <c r="DD28" s="5"/>
      <c r="DE28" s="29"/>
      <c r="DF28" s="5"/>
      <c r="DG28" s="29"/>
      <c r="DH28" s="5"/>
      <c r="DI28" s="29">
        <f t="shared" si="37"/>
        <v>0</v>
      </c>
      <c r="DJ28" s="5"/>
      <c r="DK28" s="29">
        <f t="shared" si="38"/>
        <v>5196501.5100000016</v>
      </c>
      <c r="DL28" s="5"/>
      <c r="DM28" s="29">
        <f t="shared" si="38"/>
        <v>0</v>
      </c>
      <c r="DN28" s="5"/>
      <c r="DO28" s="29">
        <f t="shared" si="38"/>
        <v>23143445.399999999</v>
      </c>
      <c r="DP28" s="5"/>
      <c r="DQ28" s="29">
        <f t="shared" si="39"/>
        <v>0</v>
      </c>
      <c r="DR28" s="5"/>
      <c r="DS28" s="29">
        <f t="shared" si="40"/>
        <v>257177.58999999985</v>
      </c>
      <c r="DT28" s="5"/>
      <c r="DU28" s="29">
        <f t="shared" si="40"/>
        <v>2143900</v>
      </c>
      <c r="DV28" s="5"/>
      <c r="DW28" s="29">
        <f t="shared" si="40"/>
        <v>71300</v>
      </c>
      <c r="DX28" s="5"/>
      <c r="DY28" s="29">
        <f t="shared" si="41"/>
        <v>300000</v>
      </c>
      <c r="DZ28" s="5"/>
      <c r="EA28" s="29">
        <f t="shared" si="42"/>
        <v>742496.63</v>
      </c>
      <c r="EB28" s="5"/>
      <c r="EC28" s="29">
        <f t="shared" si="43"/>
        <v>72995.900000000023</v>
      </c>
      <c r="ED28" s="5"/>
      <c r="EE28" s="29">
        <f t="shared" si="44"/>
        <v>693102.22</v>
      </c>
      <c r="EF28" s="5"/>
      <c r="EG28" s="29">
        <f t="shared" si="45"/>
        <v>4954.74</v>
      </c>
      <c r="EH28" s="5"/>
      <c r="EI28" s="29">
        <f t="shared" si="46"/>
        <v>5447.6100000001024</v>
      </c>
      <c r="EJ28" s="5"/>
      <c r="EK28" s="29">
        <f t="shared" si="46"/>
        <v>5037.3300000000745</v>
      </c>
      <c r="EL28" s="5"/>
      <c r="EM28" s="29">
        <f t="shared" si="46"/>
        <v>155692.50999999978</v>
      </c>
      <c r="EN28" s="5"/>
      <c r="EO28" s="29">
        <f t="shared" si="47"/>
        <v>1585030.87</v>
      </c>
      <c r="EP28" s="5"/>
      <c r="EQ28" s="29">
        <f t="shared" si="48"/>
        <v>159.12799999999993</v>
      </c>
      <c r="ER28" s="5"/>
      <c r="ES28" s="29">
        <f t="shared" si="49"/>
        <v>281.952</v>
      </c>
      <c r="ET28" s="5"/>
      <c r="EU28" s="29">
        <f t="shared" si="50"/>
        <v>185.48</v>
      </c>
      <c r="EV28" s="5"/>
      <c r="EW28" s="29">
        <f t="shared" si="51"/>
        <v>0</v>
      </c>
      <c r="EX28" s="5"/>
      <c r="EY28" s="29">
        <f t="shared" si="52"/>
        <v>445.94</v>
      </c>
      <c r="EZ28" s="5"/>
      <c r="FA28" s="29">
        <f t="shared" si="52"/>
        <v>-212.92</v>
      </c>
      <c r="FB28" s="5"/>
      <c r="FC28" s="29">
        <f t="shared" si="52"/>
        <v>0.50999999999999091</v>
      </c>
      <c r="FD28" s="5"/>
      <c r="FE28" s="29">
        <f t="shared" si="53"/>
        <v>105.95</v>
      </c>
      <c r="FF28" s="5"/>
      <c r="FG28" s="29">
        <v>7.6899999999113788</v>
      </c>
      <c r="FH28" s="5"/>
      <c r="FI28" s="29">
        <f t="shared" si="54"/>
        <v>0</v>
      </c>
      <c r="FJ28" s="5"/>
      <c r="FK28" s="29">
        <f t="shared" si="55"/>
        <v>430000</v>
      </c>
      <c r="FL28" s="5"/>
      <c r="FM28" s="29">
        <f t="shared" si="56"/>
        <v>0</v>
      </c>
      <c r="FN28" s="5"/>
      <c r="FO28" s="29">
        <f t="shared" si="57"/>
        <v>0</v>
      </c>
      <c r="FP28" s="5"/>
      <c r="FQ28" s="29">
        <f t="shared" si="58"/>
        <v>0</v>
      </c>
      <c r="FR28" s="5"/>
      <c r="FS28" s="29">
        <f t="shared" si="59"/>
        <v>3570000</v>
      </c>
      <c r="FT28" s="5"/>
      <c r="FU28" s="29">
        <f t="shared" si="60"/>
        <v>0.17</v>
      </c>
      <c r="FV28" s="5"/>
      <c r="FW28" s="29">
        <f t="shared" si="60"/>
        <v>0</v>
      </c>
      <c r="FX28" s="5"/>
      <c r="FY28" s="29">
        <f t="shared" si="60"/>
        <v>0</v>
      </c>
      <c r="FZ28" s="5"/>
      <c r="GA28" s="29">
        <f t="shared" si="61"/>
        <v>0</v>
      </c>
      <c r="GB28" s="5"/>
      <c r="GC28" s="29">
        <f t="shared" si="62"/>
        <v>0</v>
      </c>
      <c r="GD28" s="5"/>
      <c r="GE28" s="29">
        <f t="shared" si="62"/>
        <v>0</v>
      </c>
      <c r="GF28" s="5"/>
      <c r="GG28" s="29">
        <f t="shared" si="62"/>
        <v>0</v>
      </c>
      <c r="GH28" s="5"/>
      <c r="GI28" s="29">
        <f t="shared" si="63"/>
        <v>0</v>
      </c>
      <c r="GJ28" s="5"/>
      <c r="GK28" s="29">
        <f t="shared" si="64"/>
        <v>-119335.22999999998</v>
      </c>
      <c r="GL28" s="5"/>
      <c r="GM28" s="29">
        <f t="shared" si="64"/>
        <v>120152.87</v>
      </c>
      <c r="GN28" s="5"/>
      <c r="GO28" s="29">
        <f t="shared" si="65"/>
        <v>250748.49</v>
      </c>
      <c r="GP28" s="5"/>
      <c r="GQ28" s="29">
        <f t="shared" si="66"/>
        <v>0</v>
      </c>
      <c r="GR28" s="5"/>
      <c r="GS28" s="29">
        <f t="shared" si="67"/>
        <v>2335620.5</v>
      </c>
      <c r="GT28" s="5"/>
      <c r="GU28" s="29">
        <f t="shared" si="67"/>
        <v>500000</v>
      </c>
    </row>
    <row r="29" spans="1:203">
      <c r="A29" s="96" t="s">
        <v>108</v>
      </c>
      <c r="C29" s="29"/>
      <c r="E29" s="29"/>
      <c r="G29" s="29"/>
      <c r="I29" s="29">
        <v>0</v>
      </c>
      <c r="K29" s="29">
        <v>0</v>
      </c>
      <c r="M29" s="29">
        <v>0</v>
      </c>
      <c r="O29" s="29">
        <v>0</v>
      </c>
      <c r="Q29" s="29">
        <v>0</v>
      </c>
      <c r="S29" s="29">
        <v>71300</v>
      </c>
      <c r="U29" s="29">
        <v>71300</v>
      </c>
      <c r="W29" s="29">
        <v>71300</v>
      </c>
      <c r="Y29" s="29">
        <v>0</v>
      </c>
      <c r="AA29" s="29">
        <v>0</v>
      </c>
      <c r="AC29" s="29">
        <v>0</v>
      </c>
      <c r="AE29" s="29">
        <v>0</v>
      </c>
      <c r="AG29" s="29">
        <v>0</v>
      </c>
      <c r="AI29" s="29">
        <v>0</v>
      </c>
      <c r="AK29" s="29">
        <v>0</v>
      </c>
      <c r="AM29" s="29">
        <v>0</v>
      </c>
      <c r="AO29" s="29">
        <v>0</v>
      </c>
      <c r="AQ29" s="29">
        <v>0</v>
      </c>
      <c r="AS29" s="29">
        <v>0</v>
      </c>
      <c r="AU29" s="29">
        <v>0</v>
      </c>
      <c r="AW29" s="29">
        <v>0</v>
      </c>
      <c r="AY29" s="29">
        <v>0</v>
      </c>
      <c r="BA29" s="29">
        <v>0</v>
      </c>
      <c r="BC29" s="29">
        <v>0</v>
      </c>
      <c r="BE29" s="29">
        <v>0</v>
      </c>
      <c r="BG29" s="29">
        <v>0</v>
      </c>
      <c r="BI29" s="29">
        <v>0</v>
      </c>
      <c r="BK29" s="29">
        <v>0</v>
      </c>
      <c r="BM29" s="29">
        <v>0</v>
      </c>
      <c r="BO29" s="29">
        <v>0</v>
      </c>
      <c r="BQ29" s="29">
        <v>0</v>
      </c>
      <c r="BS29" s="29">
        <v>0</v>
      </c>
      <c r="BU29" s="29">
        <v>0</v>
      </c>
      <c r="BW29" s="29">
        <v>0</v>
      </c>
      <c r="BY29" s="29">
        <v>0</v>
      </c>
      <c r="CA29" s="29">
        <v>0</v>
      </c>
      <c r="CC29" s="29">
        <v>0</v>
      </c>
      <c r="CE29" s="29">
        <v>0</v>
      </c>
      <c r="CG29" s="29">
        <v>0</v>
      </c>
      <c r="CI29" s="29">
        <v>0</v>
      </c>
      <c r="CK29" s="29">
        <v>0</v>
      </c>
      <c r="CM29" s="29">
        <v>0</v>
      </c>
      <c r="CO29" s="29">
        <v>0</v>
      </c>
      <c r="CQ29" s="29">
        <v>0</v>
      </c>
      <c r="CS29" s="29">
        <v>0</v>
      </c>
      <c r="CU29" s="29">
        <v>500000</v>
      </c>
      <c r="CW29" s="29">
        <v>0</v>
      </c>
      <c r="CY29" s="29"/>
      <c r="DA29" s="29"/>
      <c r="DC29" s="29"/>
      <c r="DD29" s="5"/>
      <c r="DE29" s="29"/>
      <c r="DF29" s="5"/>
      <c r="DG29" s="29"/>
      <c r="DH29" s="5"/>
      <c r="DI29" s="29">
        <f t="shared" si="37"/>
        <v>0</v>
      </c>
      <c r="DJ29" s="5"/>
      <c r="DK29" s="29">
        <f t="shared" si="38"/>
        <v>0</v>
      </c>
      <c r="DL29" s="5"/>
      <c r="DM29" s="29">
        <f t="shared" si="38"/>
        <v>0</v>
      </c>
      <c r="DN29" s="5"/>
      <c r="DO29" s="29">
        <f t="shared" si="38"/>
        <v>0</v>
      </c>
      <c r="DP29" s="5"/>
      <c r="DQ29" s="29">
        <f t="shared" si="39"/>
        <v>0</v>
      </c>
      <c r="DR29" s="5"/>
      <c r="DS29" s="29">
        <f t="shared" si="40"/>
        <v>0</v>
      </c>
      <c r="DT29" s="5"/>
      <c r="DU29" s="29">
        <f t="shared" si="40"/>
        <v>0</v>
      </c>
      <c r="DV29" s="5"/>
      <c r="DW29" s="29">
        <f t="shared" si="40"/>
        <v>71300</v>
      </c>
      <c r="DX29" s="5"/>
      <c r="DY29" s="29">
        <f t="shared" si="41"/>
        <v>0</v>
      </c>
      <c r="DZ29" s="5"/>
      <c r="EA29" s="29">
        <f t="shared" si="42"/>
        <v>0</v>
      </c>
      <c r="EB29" s="5"/>
      <c r="EC29" s="29">
        <f t="shared" si="43"/>
        <v>0</v>
      </c>
      <c r="ED29" s="5"/>
      <c r="EE29" s="29">
        <f t="shared" si="44"/>
        <v>0</v>
      </c>
      <c r="EF29" s="5"/>
      <c r="EG29" s="29">
        <f t="shared" si="45"/>
        <v>0</v>
      </c>
      <c r="EH29" s="5"/>
      <c r="EI29" s="29">
        <f t="shared" si="46"/>
        <v>0</v>
      </c>
      <c r="EJ29" s="5"/>
      <c r="EK29" s="29">
        <f t="shared" si="46"/>
        <v>0</v>
      </c>
      <c r="EL29" s="5"/>
      <c r="EM29" s="29">
        <f t="shared" si="46"/>
        <v>0</v>
      </c>
      <c r="EN29" s="5"/>
      <c r="EO29" s="29">
        <f t="shared" si="47"/>
        <v>0</v>
      </c>
      <c r="EP29" s="5"/>
      <c r="EQ29" s="29">
        <f t="shared" si="48"/>
        <v>0</v>
      </c>
      <c r="ER29" s="5"/>
      <c r="ES29" s="29">
        <f t="shared" si="49"/>
        <v>0</v>
      </c>
      <c r="ET29" s="5"/>
      <c r="EU29" s="29">
        <f t="shared" si="50"/>
        <v>0</v>
      </c>
      <c r="EV29" s="5"/>
      <c r="EW29" s="29">
        <f t="shared" si="51"/>
        <v>0</v>
      </c>
      <c r="EX29" s="5"/>
      <c r="EY29" s="29">
        <f t="shared" si="52"/>
        <v>0</v>
      </c>
      <c r="EZ29" s="5"/>
      <c r="FA29" s="29">
        <f t="shared" si="52"/>
        <v>0</v>
      </c>
      <c r="FB29" s="5"/>
      <c r="FC29" s="29">
        <f t="shared" si="52"/>
        <v>0</v>
      </c>
      <c r="FD29" s="5"/>
      <c r="FE29" s="29">
        <f t="shared" si="53"/>
        <v>0</v>
      </c>
      <c r="FF29" s="5"/>
      <c r="FG29" s="29">
        <v>0</v>
      </c>
      <c r="FH29" s="5"/>
      <c r="FI29" s="29">
        <f t="shared" si="54"/>
        <v>0</v>
      </c>
      <c r="FJ29" s="5"/>
      <c r="FK29" s="29">
        <f t="shared" si="55"/>
        <v>0</v>
      </c>
      <c r="FL29" s="5"/>
      <c r="FM29" s="29">
        <f t="shared" si="56"/>
        <v>0</v>
      </c>
      <c r="FN29" s="5"/>
      <c r="FO29" s="29">
        <f t="shared" si="57"/>
        <v>0</v>
      </c>
      <c r="FP29" s="5"/>
      <c r="FQ29" s="29">
        <f t="shared" si="58"/>
        <v>0</v>
      </c>
      <c r="FR29" s="5"/>
      <c r="FS29" s="29">
        <f t="shared" si="59"/>
        <v>0</v>
      </c>
      <c r="FT29" s="5"/>
      <c r="FU29" s="29">
        <f t="shared" si="60"/>
        <v>0</v>
      </c>
      <c r="FV29" s="5"/>
      <c r="FW29" s="29">
        <f t="shared" si="60"/>
        <v>0</v>
      </c>
      <c r="FX29" s="5"/>
      <c r="FY29" s="29">
        <f t="shared" si="60"/>
        <v>0</v>
      </c>
      <c r="FZ29" s="5"/>
      <c r="GA29" s="29">
        <f t="shared" si="61"/>
        <v>0</v>
      </c>
      <c r="GB29" s="5"/>
      <c r="GC29" s="29">
        <f t="shared" si="62"/>
        <v>0</v>
      </c>
      <c r="GD29" s="5"/>
      <c r="GE29" s="29">
        <f t="shared" si="62"/>
        <v>0</v>
      </c>
      <c r="GF29" s="5"/>
      <c r="GG29" s="29">
        <f t="shared" si="62"/>
        <v>0</v>
      </c>
      <c r="GH29" s="5"/>
      <c r="GI29" s="29">
        <f t="shared" si="63"/>
        <v>0</v>
      </c>
      <c r="GJ29" s="5"/>
      <c r="GK29" s="29">
        <f t="shared" si="64"/>
        <v>0</v>
      </c>
      <c r="GL29" s="5"/>
      <c r="GM29" s="29">
        <f t="shared" si="64"/>
        <v>0</v>
      </c>
      <c r="GN29" s="5"/>
      <c r="GO29" s="29">
        <f t="shared" si="65"/>
        <v>0</v>
      </c>
      <c r="GP29" s="5"/>
      <c r="GQ29" s="29">
        <f t="shared" si="66"/>
        <v>0</v>
      </c>
      <c r="GR29" s="5"/>
      <c r="GS29" s="29">
        <f t="shared" si="67"/>
        <v>-500000</v>
      </c>
      <c r="GT29" s="5"/>
      <c r="GU29" s="29">
        <f t="shared" si="67"/>
        <v>500000</v>
      </c>
    </row>
    <row r="30" spans="1:203">
      <c r="A30" s="96" t="s">
        <v>109</v>
      </c>
      <c r="C30" s="29"/>
      <c r="E30" s="29"/>
      <c r="G30" s="29"/>
      <c r="I30" s="29">
        <v>0</v>
      </c>
      <c r="K30" s="29">
        <v>25418783.84</v>
      </c>
      <c r="M30" s="29">
        <v>23027500</v>
      </c>
      <c r="O30" s="29">
        <v>23027500</v>
      </c>
      <c r="Q30" s="29">
        <v>0</v>
      </c>
      <c r="S30" s="29">
        <v>2143900</v>
      </c>
      <c r="U30" s="29">
        <v>2143900</v>
      </c>
      <c r="W30" s="29">
        <v>0</v>
      </c>
      <c r="Y30" s="29">
        <v>0</v>
      </c>
      <c r="AA30" s="29">
        <v>0</v>
      </c>
      <c r="AC30" s="29">
        <v>0</v>
      </c>
      <c r="AE30" s="29">
        <v>0</v>
      </c>
      <c r="AG30" s="29">
        <v>0</v>
      </c>
      <c r="AI30" s="29">
        <v>0</v>
      </c>
      <c r="AK30" s="29">
        <v>0</v>
      </c>
      <c r="AM30" s="29">
        <v>0</v>
      </c>
      <c r="AO30" s="29">
        <v>0</v>
      </c>
      <c r="AQ30" s="29">
        <v>0</v>
      </c>
      <c r="AS30" s="29">
        <v>0</v>
      </c>
      <c r="AU30" s="29">
        <v>0</v>
      </c>
      <c r="AW30" s="29">
        <v>0</v>
      </c>
      <c r="AY30" s="29">
        <v>0</v>
      </c>
      <c r="BA30" s="29">
        <v>0</v>
      </c>
      <c r="BC30" s="29">
        <v>0</v>
      </c>
      <c r="BE30" s="29">
        <v>0</v>
      </c>
      <c r="BG30" s="29">
        <v>0</v>
      </c>
      <c r="BI30" s="29">
        <v>0</v>
      </c>
      <c r="BK30" s="29">
        <v>0</v>
      </c>
      <c r="BM30" s="29">
        <v>0</v>
      </c>
      <c r="BO30" s="29">
        <v>0</v>
      </c>
      <c r="BQ30" s="29">
        <v>0</v>
      </c>
      <c r="BS30" s="29">
        <v>0</v>
      </c>
      <c r="BU30" s="29">
        <v>0</v>
      </c>
      <c r="BW30" s="29">
        <v>0</v>
      </c>
      <c r="BY30" s="29">
        <v>0</v>
      </c>
      <c r="CA30" s="29">
        <v>0</v>
      </c>
      <c r="CC30" s="29">
        <v>0</v>
      </c>
      <c r="CE30" s="29">
        <v>0</v>
      </c>
      <c r="CG30" s="29">
        <v>0</v>
      </c>
      <c r="CI30" s="29">
        <v>0</v>
      </c>
      <c r="CK30" s="29">
        <v>0</v>
      </c>
      <c r="CM30" s="29">
        <v>0</v>
      </c>
      <c r="CO30" s="29">
        <v>0</v>
      </c>
      <c r="CQ30" s="29">
        <v>0</v>
      </c>
      <c r="CS30" s="29">
        <v>0</v>
      </c>
      <c r="CU30" s="29">
        <v>0</v>
      </c>
      <c r="CW30" s="29">
        <v>0</v>
      </c>
      <c r="CY30" s="29"/>
      <c r="DA30" s="29"/>
      <c r="DC30" s="29"/>
      <c r="DD30" s="5"/>
      <c r="DE30" s="29"/>
      <c r="DF30" s="5"/>
      <c r="DG30" s="29"/>
      <c r="DH30" s="5"/>
      <c r="DI30" s="29">
        <f t="shared" si="37"/>
        <v>0</v>
      </c>
      <c r="DJ30" s="5"/>
      <c r="DK30" s="29">
        <f t="shared" si="38"/>
        <v>2391283.84</v>
      </c>
      <c r="DL30" s="5"/>
      <c r="DM30" s="29">
        <f t="shared" si="38"/>
        <v>0</v>
      </c>
      <c r="DN30" s="5"/>
      <c r="DO30" s="29">
        <f t="shared" si="38"/>
        <v>23027500</v>
      </c>
      <c r="DP30" s="5"/>
      <c r="DQ30" s="29">
        <f t="shared" si="39"/>
        <v>0</v>
      </c>
      <c r="DR30" s="5"/>
      <c r="DS30" s="29">
        <f t="shared" si="40"/>
        <v>0</v>
      </c>
      <c r="DT30" s="5"/>
      <c r="DU30" s="29">
        <f t="shared" si="40"/>
        <v>2143900</v>
      </c>
      <c r="DV30" s="5"/>
      <c r="DW30" s="29">
        <f t="shared" si="40"/>
        <v>0</v>
      </c>
      <c r="DX30" s="5"/>
      <c r="DY30" s="29">
        <f t="shared" si="41"/>
        <v>0</v>
      </c>
      <c r="DZ30" s="5"/>
      <c r="EA30" s="29">
        <f t="shared" si="42"/>
        <v>0</v>
      </c>
      <c r="EB30" s="5"/>
      <c r="EC30" s="29">
        <f t="shared" si="43"/>
        <v>0</v>
      </c>
      <c r="ED30" s="5"/>
      <c r="EE30" s="29">
        <f t="shared" si="44"/>
        <v>0</v>
      </c>
      <c r="EF30" s="5"/>
      <c r="EG30" s="29">
        <f t="shared" si="45"/>
        <v>0</v>
      </c>
      <c r="EH30" s="5"/>
      <c r="EI30" s="29">
        <f t="shared" si="46"/>
        <v>0</v>
      </c>
      <c r="EJ30" s="5"/>
      <c r="EK30" s="29">
        <f t="shared" si="46"/>
        <v>0</v>
      </c>
      <c r="EL30" s="5"/>
      <c r="EM30" s="29">
        <f t="shared" si="46"/>
        <v>0</v>
      </c>
      <c r="EN30" s="5"/>
      <c r="EO30" s="29">
        <f t="shared" si="47"/>
        <v>0</v>
      </c>
      <c r="EP30" s="5"/>
      <c r="EQ30" s="29">
        <f t="shared" si="48"/>
        <v>0</v>
      </c>
      <c r="ER30" s="5"/>
      <c r="ES30" s="29">
        <f t="shared" si="49"/>
        <v>0</v>
      </c>
      <c r="ET30" s="5"/>
      <c r="EU30" s="29">
        <f t="shared" si="50"/>
        <v>0</v>
      </c>
      <c r="EV30" s="5"/>
      <c r="EW30" s="29">
        <f t="shared" si="51"/>
        <v>0</v>
      </c>
      <c r="EX30" s="5"/>
      <c r="EY30" s="29">
        <f t="shared" si="52"/>
        <v>0</v>
      </c>
      <c r="EZ30" s="5"/>
      <c r="FA30" s="29">
        <f t="shared" si="52"/>
        <v>0</v>
      </c>
      <c r="FB30" s="5"/>
      <c r="FC30" s="29">
        <f t="shared" si="52"/>
        <v>0</v>
      </c>
      <c r="FD30" s="5"/>
      <c r="FE30" s="29">
        <f t="shared" si="53"/>
        <v>0</v>
      </c>
      <c r="FF30" s="5"/>
      <c r="FG30" s="29">
        <v>0</v>
      </c>
      <c r="FH30" s="5"/>
      <c r="FI30" s="29">
        <f t="shared" si="54"/>
        <v>0</v>
      </c>
      <c r="FJ30" s="5"/>
      <c r="FK30" s="29">
        <f t="shared" si="55"/>
        <v>0</v>
      </c>
      <c r="FL30" s="5"/>
      <c r="FM30" s="29">
        <f t="shared" si="56"/>
        <v>0</v>
      </c>
      <c r="FN30" s="5"/>
      <c r="FO30" s="29">
        <f t="shared" si="57"/>
        <v>0</v>
      </c>
      <c r="FP30" s="5"/>
      <c r="FQ30" s="29">
        <f t="shared" si="58"/>
        <v>0</v>
      </c>
      <c r="FR30" s="5"/>
      <c r="FS30" s="29">
        <f t="shared" si="59"/>
        <v>0</v>
      </c>
      <c r="FT30" s="5"/>
      <c r="FU30" s="29">
        <f t="shared" si="60"/>
        <v>0</v>
      </c>
      <c r="FV30" s="5"/>
      <c r="FW30" s="29">
        <f t="shared" si="60"/>
        <v>0</v>
      </c>
      <c r="FX30" s="5"/>
      <c r="FY30" s="29">
        <f t="shared" si="60"/>
        <v>0</v>
      </c>
      <c r="FZ30" s="5"/>
      <c r="GA30" s="29">
        <f t="shared" si="61"/>
        <v>0</v>
      </c>
      <c r="GB30" s="5"/>
      <c r="GC30" s="29">
        <f t="shared" si="62"/>
        <v>0</v>
      </c>
      <c r="GD30" s="5"/>
      <c r="GE30" s="29">
        <f t="shared" si="62"/>
        <v>0</v>
      </c>
      <c r="GF30" s="5"/>
      <c r="GG30" s="29">
        <f t="shared" si="62"/>
        <v>0</v>
      </c>
      <c r="GH30" s="5"/>
      <c r="GI30" s="29">
        <f t="shared" si="63"/>
        <v>0</v>
      </c>
      <c r="GJ30" s="5"/>
      <c r="GK30" s="29">
        <f t="shared" si="64"/>
        <v>0</v>
      </c>
      <c r="GL30" s="5"/>
      <c r="GM30" s="29">
        <f t="shared" si="64"/>
        <v>0</v>
      </c>
      <c r="GN30" s="5"/>
      <c r="GO30" s="29">
        <f t="shared" si="65"/>
        <v>0</v>
      </c>
      <c r="GP30" s="5"/>
      <c r="GQ30" s="29">
        <f t="shared" si="66"/>
        <v>0</v>
      </c>
      <c r="GR30" s="5"/>
      <c r="GS30" s="29">
        <f t="shared" si="67"/>
        <v>0</v>
      </c>
      <c r="GT30" s="5"/>
      <c r="GU30" s="29">
        <f t="shared" si="67"/>
        <v>0</v>
      </c>
    </row>
    <row r="31" spans="1:203">
      <c r="A31" s="96" t="s">
        <v>110</v>
      </c>
      <c r="C31" s="29"/>
      <c r="E31" s="29"/>
      <c r="G31" s="29"/>
      <c r="I31" s="29">
        <v>0</v>
      </c>
      <c r="K31" s="29">
        <v>2700000</v>
      </c>
      <c r="M31" s="29">
        <v>0</v>
      </c>
      <c r="O31" s="29">
        <v>0</v>
      </c>
      <c r="Q31" s="29">
        <v>0</v>
      </c>
      <c r="S31" s="29">
        <v>300000</v>
      </c>
      <c r="U31" s="29">
        <v>300000</v>
      </c>
      <c r="W31" s="29">
        <v>300000</v>
      </c>
      <c r="Y31" s="29">
        <v>300000</v>
      </c>
      <c r="AA31" s="29">
        <v>666001.55999999994</v>
      </c>
      <c r="AC31" s="29">
        <v>4800</v>
      </c>
      <c r="AE31" s="29">
        <v>4800</v>
      </c>
      <c r="AG31" s="29">
        <v>4800</v>
      </c>
      <c r="AI31" s="29">
        <v>1596200</v>
      </c>
      <c r="AK31" s="29">
        <v>1591400</v>
      </c>
      <c r="AM31" s="29">
        <v>1586600</v>
      </c>
      <c r="AO31" s="29">
        <v>1585000</v>
      </c>
      <c r="AQ31" s="29">
        <v>0</v>
      </c>
      <c r="AS31" s="29">
        <v>0</v>
      </c>
      <c r="AU31" s="29">
        <v>0</v>
      </c>
      <c r="AW31" s="29">
        <v>0</v>
      </c>
      <c r="AY31" s="29">
        <v>0</v>
      </c>
      <c r="BA31" s="29">
        <v>0</v>
      </c>
      <c r="BC31" s="29">
        <v>0</v>
      </c>
      <c r="BE31" s="29">
        <v>0</v>
      </c>
      <c r="BG31" s="29">
        <v>4000000</v>
      </c>
      <c r="BI31" s="29">
        <v>4000000</v>
      </c>
      <c r="BK31" s="29">
        <v>4000000</v>
      </c>
      <c r="BM31" s="29">
        <v>3570000</v>
      </c>
      <c r="BO31" s="29">
        <v>3570000</v>
      </c>
      <c r="BQ31" s="29">
        <v>3570000</v>
      </c>
      <c r="BS31" s="29">
        <v>3570000</v>
      </c>
      <c r="BU31" s="29">
        <v>0</v>
      </c>
      <c r="BW31" s="29">
        <v>0</v>
      </c>
      <c r="BY31" s="29">
        <v>0</v>
      </c>
      <c r="CA31" s="29">
        <v>0</v>
      </c>
      <c r="CC31" s="29">
        <v>0</v>
      </c>
      <c r="CE31" s="29">
        <v>0</v>
      </c>
      <c r="CG31" s="29">
        <v>0</v>
      </c>
      <c r="CI31" s="29">
        <v>0</v>
      </c>
      <c r="CK31" s="29">
        <v>240000</v>
      </c>
      <c r="CM31" s="29">
        <v>370901.36</v>
      </c>
      <c r="CO31" s="29">
        <v>250748.49</v>
      </c>
      <c r="CQ31" s="29">
        <v>0</v>
      </c>
      <c r="CS31" s="29">
        <v>2000000</v>
      </c>
      <c r="CU31" s="29">
        <v>0</v>
      </c>
      <c r="CW31" s="29">
        <v>0</v>
      </c>
      <c r="CY31" s="29"/>
      <c r="DA31" s="29"/>
      <c r="DC31" s="29"/>
      <c r="DD31" s="5"/>
      <c r="DE31" s="29"/>
      <c r="DF31" s="5"/>
      <c r="DG31" s="29"/>
      <c r="DH31" s="5"/>
      <c r="DI31" s="29">
        <f t="shared" si="37"/>
        <v>0</v>
      </c>
      <c r="DJ31" s="5"/>
      <c r="DK31" s="29">
        <f t="shared" si="38"/>
        <v>2700000</v>
      </c>
      <c r="DL31" s="5"/>
      <c r="DM31" s="29">
        <f t="shared" si="38"/>
        <v>0</v>
      </c>
      <c r="DN31" s="5"/>
      <c r="DO31" s="29">
        <f t="shared" si="38"/>
        <v>0</v>
      </c>
      <c r="DP31" s="5"/>
      <c r="DQ31" s="29">
        <f t="shared" si="39"/>
        <v>0</v>
      </c>
      <c r="DR31" s="5"/>
      <c r="DS31" s="29">
        <f t="shared" si="40"/>
        <v>0</v>
      </c>
      <c r="DT31" s="5"/>
      <c r="DU31" s="29">
        <f t="shared" si="40"/>
        <v>0</v>
      </c>
      <c r="DV31" s="5"/>
      <c r="DW31" s="29">
        <f t="shared" si="40"/>
        <v>0</v>
      </c>
      <c r="DX31" s="5"/>
      <c r="DY31" s="29">
        <f t="shared" si="41"/>
        <v>300000</v>
      </c>
      <c r="DZ31" s="5"/>
      <c r="EA31" s="29">
        <f t="shared" si="42"/>
        <v>661201.55999999994</v>
      </c>
      <c r="EB31" s="5"/>
      <c r="EC31" s="29">
        <f t="shared" si="43"/>
        <v>0</v>
      </c>
      <c r="ED31" s="5"/>
      <c r="EE31" s="29">
        <f t="shared" si="44"/>
        <v>0</v>
      </c>
      <c r="EF31" s="5"/>
      <c r="EG31" s="29">
        <f t="shared" si="45"/>
        <v>4800</v>
      </c>
      <c r="EH31" s="5"/>
      <c r="EI31" s="29">
        <f t="shared" si="46"/>
        <v>4800</v>
      </c>
      <c r="EJ31" s="5"/>
      <c r="EK31" s="29">
        <f t="shared" si="46"/>
        <v>4800</v>
      </c>
      <c r="EL31" s="5"/>
      <c r="EM31" s="29">
        <f t="shared" si="46"/>
        <v>1600</v>
      </c>
      <c r="EN31" s="5"/>
      <c r="EO31" s="29">
        <f t="shared" si="47"/>
        <v>1585000</v>
      </c>
      <c r="EP31" s="5"/>
      <c r="EQ31" s="29">
        <f t="shared" si="48"/>
        <v>0</v>
      </c>
      <c r="ER31" s="5"/>
      <c r="ES31" s="29">
        <f t="shared" si="49"/>
        <v>0</v>
      </c>
      <c r="ET31" s="5"/>
      <c r="EU31" s="29">
        <f t="shared" si="50"/>
        <v>0</v>
      </c>
      <c r="EV31" s="5"/>
      <c r="EW31" s="29">
        <f t="shared" si="51"/>
        <v>0</v>
      </c>
      <c r="EX31" s="5"/>
      <c r="EY31" s="29">
        <f t="shared" si="52"/>
        <v>0</v>
      </c>
      <c r="EZ31" s="5"/>
      <c r="FA31" s="29">
        <f t="shared" si="52"/>
        <v>0</v>
      </c>
      <c r="FB31" s="5"/>
      <c r="FC31" s="29">
        <f t="shared" si="52"/>
        <v>0</v>
      </c>
      <c r="FD31" s="5"/>
      <c r="FE31" s="29">
        <f t="shared" si="53"/>
        <v>0</v>
      </c>
      <c r="FF31" s="5"/>
      <c r="FG31" s="29">
        <v>0</v>
      </c>
      <c r="FH31" s="5"/>
      <c r="FI31" s="29">
        <f t="shared" si="54"/>
        <v>0</v>
      </c>
      <c r="FJ31" s="5"/>
      <c r="FK31" s="29">
        <f t="shared" si="55"/>
        <v>430000</v>
      </c>
      <c r="FL31" s="5"/>
      <c r="FM31" s="29">
        <f t="shared" si="56"/>
        <v>0</v>
      </c>
      <c r="FN31" s="5"/>
      <c r="FO31" s="29">
        <f t="shared" si="57"/>
        <v>0</v>
      </c>
      <c r="FP31" s="5"/>
      <c r="FQ31" s="29">
        <f t="shared" si="58"/>
        <v>0</v>
      </c>
      <c r="FR31" s="5"/>
      <c r="FS31" s="29">
        <f t="shared" si="59"/>
        <v>3570000</v>
      </c>
      <c r="FT31" s="5"/>
      <c r="FU31" s="29">
        <f t="shared" si="60"/>
        <v>0</v>
      </c>
      <c r="FV31" s="5"/>
      <c r="FW31" s="29">
        <f t="shared" si="60"/>
        <v>0</v>
      </c>
      <c r="FX31" s="5"/>
      <c r="FY31" s="29">
        <f t="shared" si="60"/>
        <v>0</v>
      </c>
      <c r="FZ31" s="5"/>
      <c r="GA31" s="29">
        <f t="shared" si="61"/>
        <v>0</v>
      </c>
      <c r="GB31" s="5"/>
      <c r="GC31" s="29">
        <f t="shared" si="62"/>
        <v>0</v>
      </c>
      <c r="GD31" s="5"/>
      <c r="GE31" s="29">
        <f t="shared" si="62"/>
        <v>0</v>
      </c>
      <c r="GF31" s="5"/>
      <c r="GG31" s="29">
        <f t="shared" si="62"/>
        <v>0</v>
      </c>
      <c r="GH31" s="5"/>
      <c r="GI31" s="29">
        <f t="shared" si="63"/>
        <v>0</v>
      </c>
      <c r="GJ31" s="5"/>
      <c r="GK31" s="29">
        <f t="shared" si="64"/>
        <v>-130901.35999999999</v>
      </c>
      <c r="GL31" s="5"/>
      <c r="GM31" s="29">
        <f t="shared" si="64"/>
        <v>120152.87</v>
      </c>
      <c r="GN31" s="5"/>
      <c r="GO31" s="29">
        <f t="shared" si="65"/>
        <v>250748.49</v>
      </c>
      <c r="GP31" s="5"/>
      <c r="GQ31" s="29">
        <f t="shared" si="66"/>
        <v>0</v>
      </c>
      <c r="GR31" s="5"/>
      <c r="GS31" s="29">
        <f t="shared" si="67"/>
        <v>2000000</v>
      </c>
      <c r="GT31" s="5"/>
      <c r="GU31" s="29">
        <f t="shared" si="67"/>
        <v>0</v>
      </c>
    </row>
    <row r="32" spans="1:203">
      <c r="A32" s="96" t="s">
        <v>111</v>
      </c>
      <c r="C32" s="29"/>
      <c r="E32" s="29"/>
      <c r="G32" s="29"/>
      <c r="I32" s="29">
        <v>0</v>
      </c>
      <c r="K32" s="29">
        <v>221163.07</v>
      </c>
      <c r="M32" s="29">
        <v>115945.4</v>
      </c>
      <c r="O32" s="29">
        <v>115945.4</v>
      </c>
      <c r="Q32" s="29">
        <v>0</v>
      </c>
      <c r="S32" s="29">
        <v>257177.59</v>
      </c>
      <c r="U32" s="29">
        <v>0</v>
      </c>
      <c r="W32" s="29">
        <v>0</v>
      </c>
      <c r="Y32" s="29">
        <v>0</v>
      </c>
      <c r="AA32" s="29">
        <v>847547.93</v>
      </c>
      <c r="AC32" s="29">
        <v>766252.8600000001</v>
      </c>
      <c r="AE32" s="29">
        <v>693256.96</v>
      </c>
      <c r="AG32" s="29">
        <v>154.74</v>
      </c>
      <c r="AI32" s="29">
        <v>155008.32000000001</v>
      </c>
      <c r="AK32" s="29">
        <v>154360.71</v>
      </c>
      <c r="AM32" s="29">
        <v>154123.38</v>
      </c>
      <c r="AO32" s="29">
        <v>30.87</v>
      </c>
      <c r="AQ32" s="29">
        <v>626.55999999999995</v>
      </c>
      <c r="AS32" s="29">
        <v>467.43200000000002</v>
      </c>
      <c r="AU32" s="29">
        <v>185.48</v>
      </c>
      <c r="AW32" s="29">
        <v>0</v>
      </c>
      <c r="AY32" s="29">
        <v>339.48</v>
      </c>
      <c r="BA32" s="29">
        <v>-106.46</v>
      </c>
      <c r="BC32" s="29">
        <v>106.46</v>
      </c>
      <c r="BE32" s="29">
        <v>105.95</v>
      </c>
      <c r="BG32" s="29">
        <v>15.38</v>
      </c>
      <c r="BI32" s="29">
        <v>0</v>
      </c>
      <c r="BK32" s="29">
        <v>0</v>
      </c>
      <c r="BM32" s="29">
        <v>0</v>
      </c>
      <c r="BO32" s="29">
        <v>0</v>
      </c>
      <c r="BQ32" s="29">
        <v>0</v>
      </c>
      <c r="BS32" s="29">
        <v>0</v>
      </c>
      <c r="BU32" s="29">
        <v>0.17</v>
      </c>
      <c r="BW32" s="29">
        <v>0</v>
      </c>
      <c r="BY32" s="29">
        <v>0</v>
      </c>
      <c r="CA32" s="29">
        <v>0</v>
      </c>
      <c r="CC32" s="29">
        <v>0</v>
      </c>
      <c r="CE32" s="29">
        <v>0</v>
      </c>
      <c r="CG32" s="29">
        <v>0</v>
      </c>
      <c r="CI32" s="29">
        <v>0</v>
      </c>
      <c r="CK32" s="29">
        <v>11566.13</v>
      </c>
      <c r="CM32" s="29">
        <v>0</v>
      </c>
      <c r="CO32" s="29">
        <v>0</v>
      </c>
      <c r="CQ32" s="29">
        <v>0</v>
      </c>
      <c r="CS32" s="29">
        <v>323661.59000000003</v>
      </c>
      <c r="CU32" s="29">
        <v>0</v>
      </c>
      <c r="CW32" s="29">
        <v>0</v>
      </c>
      <c r="CY32" s="29"/>
      <c r="DA32" s="29"/>
      <c r="DC32" s="29"/>
      <c r="DD32" s="5"/>
      <c r="DE32" s="29"/>
      <c r="DF32" s="5"/>
      <c r="DG32" s="29"/>
      <c r="DH32" s="5"/>
      <c r="DI32" s="29">
        <f t="shared" si="37"/>
        <v>0</v>
      </c>
      <c r="DJ32" s="5"/>
      <c r="DK32" s="29">
        <f t="shared" si="38"/>
        <v>105217.67000000001</v>
      </c>
      <c r="DL32" s="5"/>
      <c r="DM32" s="29">
        <f t="shared" si="38"/>
        <v>0</v>
      </c>
      <c r="DN32" s="5"/>
      <c r="DO32" s="29">
        <f t="shared" si="38"/>
        <v>115945.4</v>
      </c>
      <c r="DP32" s="5"/>
      <c r="DQ32" s="29">
        <f t="shared" si="39"/>
        <v>0</v>
      </c>
      <c r="DR32" s="5"/>
      <c r="DS32" s="29">
        <f t="shared" si="40"/>
        <v>257177.59</v>
      </c>
      <c r="DT32" s="5"/>
      <c r="DU32" s="29">
        <f t="shared" si="40"/>
        <v>0</v>
      </c>
      <c r="DV32" s="5"/>
      <c r="DW32" s="29">
        <f t="shared" si="40"/>
        <v>0</v>
      </c>
      <c r="DX32" s="5"/>
      <c r="DY32" s="29">
        <f t="shared" si="41"/>
        <v>0</v>
      </c>
      <c r="DZ32" s="5"/>
      <c r="EA32" s="29">
        <f t="shared" si="42"/>
        <v>81295.069999999949</v>
      </c>
      <c r="EB32" s="5"/>
      <c r="EC32" s="29">
        <f t="shared" si="43"/>
        <v>72995.90000000014</v>
      </c>
      <c r="ED32" s="5"/>
      <c r="EE32" s="29">
        <f t="shared" si="44"/>
        <v>693102.22</v>
      </c>
      <c r="EF32" s="5"/>
      <c r="EG32" s="29">
        <f t="shared" si="45"/>
        <v>154.74</v>
      </c>
      <c r="EH32" s="5"/>
      <c r="EI32" s="29">
        <f t="shared" si="46"/>
        <v>647.61000000001513</v>
      </c>
      <c r="EJ32" s="5"/>
      <c r="EK32" s="29">
        <f t="shared" si="46"/>
        <v>237.32999999998719</v>
      </c>
      <c r="EL32" s="5"/>
      <c r="EM32" s="29">
        <f t="shared" si="46"/>
        <v>154092.51</v>
      </c>
      <c r="EN32" s="5"/>
      <c r="EO32" s="29">
        <f t="shared" si="47"/>
        <v>30.87</v>
      </c>
      <c r="EP32" s="5"/>
      <c r="EQ32" s="29">
        <f t="shared" si="48"/>
        <v>159.12799999999993</v>
      </c>
      <c r="ER32" s="5"/>
      <c r="ES32" s="29">
        <f t="shared" si="49"/>
        <v>281.952</v>
      </c>
      <c r="ET32" s="5"/>
      <c r="EU32" s="29">
        <f t="shared" si="50"/>
        <v>185.48</v>
      </c>
      <c r="EV32" s="5"/>
      <c r="EW32" s="29">
        <f t="shared" si="51"/>
        <v>0</v>
      </c>
      <c r="EX32" s="5"/>
      <c r="EY32" s="29">
        <f t="shared" si="52"/>
        <v>445.94</v>
      </c>
      <c r="EZ32" s="5"/>
      <c r="FA32" s="29">
        <f t="shared" si="52"/>
        <v>-212.92</v>
      </c>
      <c r="FB32" s="5"/>
      <c r="FC32" s="29">
        <f t="shared" si="52"/>
        <v>0.50999999999999091</v>
      </c>
      <c r="FD32" s="5"/>
      <c r="FE32" s="29">
        <f t="shared" si="53"/>
        <v>105.95</v>
      </c>
      <c r="FF32" s="5"/>
      <c r="FG32" s="29">
        <v>7.69</v>
      </c>
      <c r="FH32" s="5"/>
      <c r="FI32" s="29">
        <f t="shared" si="54"/>
        <v>0</v>
      </c>
      <c r="FJ32" s="5"/>
      <c r="FK32" s="29">
        <f t="shared" si="55"/>
        <v>0</v>
      </c>
      <c r="FL32" s="5"/>
      <c r="FM32" s="29">
        <f t="shared" si="56"/>
        <v>0</v>
      </c>
      <c r="FN32" s="5"/>
      <c r="FO32" s="29">
        <f t="shared" si="57"/>
        <v>0</v>
      </c>
      <c r="FP32" s="5"/>
      <c r="FQ32" s="29">
        <f t="shared" si="58"/>
        <v>0</v>
      </c>
      <c r="FR32" s="5"/>
      <c r="FS32" s="29">
        <f t="shared" si="59"/>
        <v>0</v>
      </c>
      <c r="FT32" s="5"/>
      <c r="FU32" s="29">
        <f t="shared" si="60"/>
        <v>0.17</v>
      </c>
      <c r="FV32" s="5"/>
      <c r="FW32" s="29">
        <f t="shared" si="60"/>
        <v>0</v>
      </c>
      <c r="FX32" s="5"/>
      <c r="FY32" s="29">
        <f t="shared" si="60"/>
        <v>0</v>
      </c>
      <c r="FZ32" s="5"/>
      <c r="GA32" s="29">
        <f t="shared" si="61"/>
        <v>0</v>
      </c>
      <c r="GB32" s="5"/>
      <c r="GC32" s="29">
        <f t="shared" si="62"/>
        <v>0</v>
      </c>
      <c r="GD32" s="5"/>
      <c r="GE32" s="29">
        <f t="shared" si="62"/>
        <v>0</v>
      </c>
      <c r="GF32" s="5"/>
      <c r="GG32" s="29">
        <f t="shared" si="62"/>
        <v>0</v>
      </c>
      <c r="GH32" s="5"/>
      <c r="GI32" s="29">
        <f t="shared" si="63"/>
        <v>0</v>
      </c>
      <c r="GJ32" s="5"/>
      <c r="GK32" s="29">
        <f t="shared" si="64"/>
        <v>11566.13</v>
      </c>
      <c r="GL32" s="5"/>
      <c r="GM32" s="29">
        <f t="shared" si="64"/>
        <v>0</v>
      </c>
      <c r="GN32" s="5"/>
      <c r="GO32" s="29">
        <f t="shared" si="65"/>
        <v>0</v>
      </c>
      <c r="GP32" s="5"/>
      <c r="GQ32" s="29">
        <f t="shared" si="66"/>
        <v>0</v>
      </c>
      <c r="GR32" s="5"/>
      <c r="GS32" s="29">
        <f t="shared" si="67"/>
        <v>323661.59000000003</v>
      </c>
      <c r="GT32" s="5"/>
      <c r="GU32" s="29">
        <f t="shared" si="67"/>
        <v>0</v>
      </c>
    </row>
    <row r="33" spans="1:203">
      <c r="A33" s="96" t="s">
        <v>112</v>
      </c>
      <c r="C33" s="29"/>
      <c r="E33" s="29"/>
      <c r="G33" s="29"/>
      <c r="I33" s="29">
        <v>0</v>
      </c>
      <c r="K33" s="29">
        <v>0</v>
      </c>
      <c r="M33" s="29">
        <v>0</v>
      </c>
      <c r="O33" s="29">
        <v>0</v>
      </c>
      <c r="Q33" s="29">
        <v>0</v>
      </c>
      <c r="S33" s="29">
        <v>0</v>
      </c>
      <c r="U33" s="29">
        <v>0</v>
      </c>
      <c r="W33" s="29">
        <v>0</v>
      </c>
      <c r="Y33" s="29">
        <v>0</v>
      </c>
      <c r="AA33" s="29">
        <v>0</v>
      </c>
      <c r="AC33" s="29">
        <v>0</v>
      </c>
      <c r="AE33" s="29">
        <v>0</v>
      </c>
      <c r="AG33" s="29">
        <v>0</v>
      </c>
      <c r="AI33" s="29">
        <v>0</v>
      </c>
      <c r="AK33" s="29">
        <v>0</v>
      </c>
      <c r="AM33" s="29">
        <v>0</v>
      </c>
      <c r="AO33" s="29">
        <v>0</v>
      </c>
      <c r="AQ33" s="29">
        <v>0</v>
      </c>
      <c r="AS33" s="29">
        <v>0</v>
      </c>
      <c r="AU33" s="29">
        <v>0</v>
      </c>
      <c r="AW33" s="29">
        <v>0</v>
      </c>
      <c r="AY33" s="29">
        <v>0</v>
      </c>
      <c r="BA33" s="29">
        <v>0</v>
      </c>
      <c r="BC33" s="29">
        <v>0</v>
      </c>
      <c r="BE33" s="29">
        <v>0</v>
      </c>
      <c r="BG33" s="29">
        <v>0</v>
      </c>
      <c r="BI33" s="29">
        <v>0</v>
      </c>
      <c r="BK33" s="29">
        <v>0</v>
      </c>
      <c r="BM33" s="29">
        <v>0</v>
      </c>
      <c r="BO33" s="29">
        <v>0</v>
      </c>
      <c r="BQ33" s="29">
        <v>0</v>
      </c>
      <c r="BS33" s="29">
        <v>0</v>
      </c>
      <c r="BU33" s="29">
        <v>0</v>
      </c>
      <c r="BW33" s="29">
        <v>0</v>
      </c>
      <c r="BY33" s="29">
        <v>0</v>
      </c>
      <c r="CA33" s="29">
        <v>0</v>
      </c>
      <c r="CC33" s="29">
        <v>0</v>
      </c>
      <c r="CE33" s="29">
        <v>0</v>
      </c>
      <c r="CG33" s="29">
        <v>0</v>
      </c>
      <c r="CI33" s="29">
        <v>0</v>
      </c>
      <c r="CK33" s="29">
        <v>0</v>
      </c>
      <c r="CM33" s="29">
        <v>0</v>
      </c>
      <c r="CO33" s="29">
        <v>0</v>
      </c>
      <c r="CQ33" s="29">
        <v>0</v>
      </c>
      <c r="CS33" s="29">
        <v>511958.91</v>
      </c>
      <c r="CU33" s="29">
        <v>0</v>
      </c>
      <c r="CW33" s="29">
        <v>0</v>
      </c>
      <c r="CY33" s="29"/>
      <c r="DA33" s="29"/>
      <c r="DC33" s="29"/>
      <c r="DD33" s="5"/>
      <c r="DE33" s="29"/>
      <c r="DF33" s="5"/>
      <c r="DG33" s="29"/>
      <c r="DH33" s="5"/>
      <c r="DI33" s="29">
        <f t="shared" si="37"/>
        <v>0</v>
      </c>
      <c r="DJ33" s="5"/>
      <c r="DK33" s="29">
        <f t="shared" si="38"/>
        <v>0</v>
      </c>
      <c r="DL33" s="5"/>
      <c r="DM33" s="29">
        <f t="shared" si="38"/>
        <v>0</v>
      </c>
      <c r="DN33" s="5"/>
      <c r="DO33" s="29">
        <f t="shared" si="38"/>
        <v>0</v>
      </c>
      <c r="DP33" s="5"/>
      <c r="DQ33" s="29">
        <f t="shared" si="39"/>
        <v>0</v>
      </c>
      <c r="DR33" s="5"/>
      <c r="DS33" s="29">
        <f t="shared" si="40"/>
        <v>0</v>
      </c>
      <c r="DT33" s="5"/>
      <c r="DU33" s="29">
        <f t="shared" si="40"/>
        <v>0</v>
      </c>
      <c r="DV33" s="5"/>
      <c r="DW33" s="29">
        <f t="shared" si="40"/>
        <v>0</v>
      </c>
      <c r="DX33" s="5"/>
      <c r="DY33" s="29">
        <f t="shared" si="41"/>
        <v>0</v>
      </c>
      <c r="DZ33" s="5"/>
      <c r="EA33" s="29">
        <f t="shared" si="42"/>
        <v>0</v>
      </c>
      <c r="EB33" s="5"/>
      <c r="EC33" s="29">
        <f t="shared" si="43"/>
        <v>0</v>
      </c>
      <c r="ED33" s="5"/>
      <c r="EE33" s="29">
        <f t="shared" si="44"/>
        <v>0</v>
      </c>
      <c r="EF33" s="5"/>
      <c r="EG33" s="29">
        <f t="shared" si="45"/>
        <v>0</v>
      </c>
      <c r="EH33" s="5"/>
      <c r="EI33" s="29">
        <f t="shared" si="46"/>
        <v>0</v>
      </c>
      <c r="EJ33" s="5"/>
      <c r="EK33" s="29">
        <f t="shared" si="46"/>
        <v>0</v>
      </c>
      <c r="EL33" s="5"/>
      <c r="EM33" s="29">
        <f t="shared" si="46"/>
        <v>0</v>
      </c>
      <c r="EN33" s="5"/>
      <c r="EO33" s="29">
        <f t="shared" si="47"/>
        <v>0</v>
      </c>
      <c r="EP33" s="5"/>
      <c r="EQ33" s="29">
        <f t="shared" si="48"/>
        <v>0</v>
      </c>
      <c r="ER33" s="5"/>
      <c r="ES33" s="29">
        <f t="shared" si="49"/>
        <v>0</v>
      </c>
      <c r="ET33" s="5"/>
      <c r="EU33" s="29">
        <f t="shared" si="50"/>
        <v>0</v>
      </c>
      <c r="EV33" s="5"/>
      <c r="EW33" s="29">
        <f t="shared" si="51"/>
        <v>0</v>
      </c>
      <c r="EX33" s="5"/>
      <c r="EY33" s="29">
        <f t="shared" si="52"/>
        <v>0</v>
      </c>
      <c r="EZ33" s="5"/>
      <c r="FA33" s="29">
        <f t="shared" si="52"/>
        <v>0</v>
      </c>
      <c r="FB33" s="5"/>
      <c r="FC33" s="29">
        <f t="shared" si="52"/>
        <v>0</v>
      </c>
      <c r="FD33" s="5"/>
      <c r="FE33" s="29">
        <f t="shared" si="53"/>
        <v>0</v>
      </c>
      <c r="FF33" s="5"/>
      <c r="FG33" s="29">
        <v>0</v>
      </c>
      <c r="FH33" s="5"/>
      <c r="FI33" s="29">
        <f t="shared" si="54"/>
        <v>0</v>
      </c>
      <c r="FJ33" s="5"/>
      <c r="FK33" s="29">
        <f t="shared" si="55"/>
        <v>0</v>
      </c>
      <c r="FL33" s="5"/>
      <c r="FM33" s="29">
        <f t="shared" si="56"/>
        <v>0</v>
      </c>
      <c r="FN33" s="5"/>
      <c r="FO33" s="29">
        <f t="shared" si="57"/>
        <v>0</v>
      </c>
      <c r="FP33" s="5"/>
      <c r="FQ33" s="29">
        <f t="shared" si="58"/>
        <v>0</v>
      </c>
      <c r="FR33" s="5"/>
      <c r="FS33" s="29">
        <f t="shared" si="59"/>
        <v>0</v>
      </c>
      <c r="FT33" s="5"/>
      <c r="FU33" s="29">
        <f t="shared" si="60"/>
        <v>0</v>
      </c>
      <c r="FV33" s="5"/>
      <c r="FW33" s="29">
        <f t="shared" si="60"/>
        <v>0</v>
      </c>
      <c r="FX33" s="5"/>
      <c r="FY33" s="29">
        <f t="shared" si="60"/>
        <v>0</v>
      </c>
      <c r="FZ33" s="5"/>
      <c r="GA33" s="29">
        <f t="shared" si="61"/>
        <v>0</v>
      </c>
      <c r="GB33" s="5"/>
      <c r="GC33" s="29">
        <f t="shared" si="62"/>
        <v>0</v>
      </c>
      <c r="GD33" s="5"/>
      <c r="GE33" s="29">
        <f t="shared" si="62"/>
        <v>0</v>
      </c>
      <c r="GF33" s="5"/>
      <c r="GG33" s="29">
        <f t="shared" si="62"/>
        <v>0</v>
      </c>
      <c r="GH33" s="5"/>
      <c r="GI33" s="29">
        <f t="shared" si="63"/>
        <v>0</v>
      </c>
      <c r="GJ33" s="5"/>
      <c r="GK33" s="29">
        <f t="shared" si="64"/>
        <v>0</v>
      </c>
      <c r="GL33" s="5"/>
      <c r="GM33" s="29">
        <f t="shared" si="64"/>
        <v>0</v>
      </c>
      <c r="GN33" s="5"/>
      <c r="GO33" s="29">
        <f>CO33-CQ33</f>
        <v>0</v>
      </c>
      <c r="GP33" s="5"/>
      <c r="GQ33" s="29">
        <f t="shared" si="66"/>
        <v>0</v>
      </c>
      <c r="GR33" s="5"/>
      <c r="GS33" s="29">
        <f t="shared" si="67"/>
        <v>511958.91</v>
      </c>
      <c r="GT33" s="5"/>
      <c r="GU33" s="29">
        <f t="shared" si="67"/>
        <v>0</v>
      </c>
    </row>
    <row r="34" spans="1:203">
      <c r="A34" s="38" t="s">
        <v>251</v>
      </c>
      <c r="C34" s="29"/>
      <c r="E34" s="29"/>
      <c r="G34" s="29"/>
      <c r="I34" s="29">
        <v>0</v>
      </c>
      <c r="K34" s="29">
        <v>0</v>
      </c>
      <c r="M34" s="29">
        <v>0</v>
      </c>
      <c r="O34" s="29">
        <v>0</v>
      </c>
      <c r="Q34" s="29">
        <v>0</v>
      </c>
      <c r="S34" s="29">
        <v>0</v>
      </c>
      <c r="U34" s="29">
        <v>0</v>
      </c>
      <c r="W34" s="29">
        <v>0</v>
      </c>
      <c r="Y34" s="29">
        <v>0</v>
      </c>
      <c r="AA34" s="29">
        <v>1079474.3400000001</v>
      </c>
      <c r="AC34" s="29">
        <v>1079474.3400000001</v>
      </c>
      <c r="AE34" s="29">
        <v>751505.84000000008</v>
      </c>
      <c r="AG34" s="29">
        <v>565867.16</v>
      </c>
      <c r="AI34" s="29">
        <v>176162</v>
      </c>
      <c r="AK34" s="29">
        <v>176162</v>
      </c>
      <c r="AM34" s="29">
        <v>176162</v>
      </c>
      <c r="AO34" s="29">
        <v>176162</v>
      </c>
      <c r="AQ34" s="29">
        <v>147640.95000000001</v>
      </c>
      <c r="AS34" s="29">
        <v>147303.68000000002</v>
      </c>
      <c r="AU34" s="29">
        <v>0</v>
      </c>
      <c r="AW34" s="29">
        <v>0</v>
      </c>
      <c r="AY34" s="29">
        <v>1251059.6200000001</v>
      </c>
      <c r="BA34" s="29">
        <v>775309.35000000009</v>
      </c>
      <c r="BC34" s="29">
        <v>407047.15</v>
      </c>
      <c r="BE34" s="29">
        <v>336301.49</v>
      </c>
      <c r="BG34" s="29">
        <v>509421.04999999981</v>
      </c>
      <c r="BI34" s="29">
        <v>7157386.5</v>
      </c>
      <c r="BK34" s="29">
        <v>6820218.870000001</v>
      </c>
      <c r="BM34" s="29">
        <v>6820218.870000001</v>
      </c>
      <c r="BO34" s="29">
        <v>6593976.3400000008</v>
      </c>
      <c r="BQ34" s="29">
        <v>229408.18</v>
      </c>
      <c r="BS34" s="29">
        <v>106792.47</v>
      </c>
      <c r="BU34" s="29">
        <v>5920167.9100000001</v>
      </c>
      <c r="BW34" s="29">
        <v>5654925.0700000003</v>
      </c>
      <c r="BY34" s="29">
        <v>5527574.6699999999</v>
      </c>
      <c r="CA34" s="29">
        <v>5477686.4199999999</v>
      </c>
      <c r="CC34" s="29"/>
      <c r="CE34" s="29"/>
      <c r="CG34" s="29"/>
      <c r="CI34" s="29"/>
      <c r="CK34" s="29"/>
      <c r="CM34" s="29"/>
      <c r="CO34" s="29"/>
      <c r="CQ34" s="29"/>
      <c r="CS34" s="29"/>
      <c r="CU34" s="29"/>
      <c r="CW34" s="29"/>
      <c r="CY34" s="29"/>
      <c r="DA34" s="29"/>
      <c r="DC34" s="29"/>
      <c r="DD34" s="5"/>
      <c r="DE34" s="29"/>
      <c r="DF34" s="5"/>
      <c r="DG34" s="29"/>
      <c r="DH34" s="5"/>
      <c r="DI34" s="29">
        <f t="shared" si="37"/>
        <v>0</v>
      </c>
      <c r="DJ34" s="5"/>
      <c r="DK34" s="29">
        <f t="shared" si="38"/>
        <v>0</v>
      </c>
      <c r="DL34" s="5"/>
      <c r="DM34" s="29">
        <f t="shared" si="38"/>
        <v>0</v>
      </c>
      <c r="DN34" s="5"/>
      <c r="DO34" s="29">
        <f t="shared" si="38"/>
        <v>0</v>
      </c>
      <c r="DP34" s="5"/>
      <c r="DQ34" s="29">
        <f t="shared" si="39"/>
        <v>0</v>
      </c>
      <c r="DR34" s="5"/>
      <c r="DS34" s="29">
        <f t="shared" si="40"/>
        <v>0</v>
      </c>
      <c r="DT34" s="5"/>
      <c r="DU34" s="29">
        <f t="shared" si="40"/>
        <v>0</v>
      </c>
      <c r="DV34" s="5"/>
      <c r="DW34" s="29">
        <f t="shared" si="40"/>
        <v>0</v>
      </c>
      <c r="DX34" s="5"/>
      <c r="DY34" s="29">
        <f t="shared" si="41"/>
        <v>0</v>
      </c>
      <c r="DZ34" s="5"/>
      <c r="EA34" s="29">
        <f t="shared" si="42"/>
        <v>0</v>
      </c>
      <c r="EB34" s="5"/>
      <c r="EC34" s="29">
        <f t="shared" si="43"/>
        <v>327968.5</v>
      </c>
      <c r="ED34" s="5"/>
      <c r="EE34" s="29">
        <f t="shared" si="44"/>
        <v>185638.68000000005</v>
      </c>
      <c r="EF34" s="5"/>
      <c r="EG34" s="29">
        <f t="shared" si="45"/>
        <v>565867.16</v>
      </c>
      <c r="EH34" s="5"/>
      <c r="EI34" s="29">
        <f t="shared" si="46"/>
        <v>0</v>
      </c>
      <c r="EJ34" s="5"/>
      <c r="EK34" s="29">
        <f t="shared" si="46"/>
        <v>0</v>
      </c>
      <c r="EL34" s="5"/>
      <c r="EM34" s="29">
        <f t="shared" si="46"/>
        <v>0</v>
      </c>
      <c r="EN34" s="5"/>
      <c r="EO34" s="29">
        <f t="shared" si="47"/>
        <v>176162</v>
      </c>
      <c r="EP34" s="5"/>
      <c r="EQ34" s="29">
        <f t="shared" si="48"/>
        <v>337.26999999998952</v>
      </c>
      <c r="ER34" s="5"/>
      <c r="ES34" s="29">
        <f t="shared" si="49"/>
        <v>147303.68000000002</v>
      </c>
      <c r="ET34" s="5"/>
      <c r="EU34" s="29">
        <f t="shared" si="50"/>
        <v>0</v>
      </c>
      <c r="EV34" s="5"/>
      <c r="EW34" s="29">
        <f t="shared" si="51"/>
        <v>0</v>
      </c>
      <c r="EX34" s="5"/>
      <c r="EY34" s="29">
        <f t="shared" si="52"/>
        <v>475750.27</v>
      </c>
      <c r="EZ34" s="5"/>
      <c r="FA34" s="29">
        <f t="shared" si="52"/>
        <v>368262.20000000007</v>
      </c>
      <c r="FB34" s="5"/>
      <c r="FC34" s="29">
        <f t="shared" si="52"/>
        <v>70745.660000000033</v>
      </c>
      <c r="FD34" s="5"/>
      <c r="FE34" s="29">
        <f t="shared" si="53"/>
        <v>336301.49</v>
      </c>
      <c r="FF34" s="5"/>
      <c r="FG34" s="29">
        <v>210729.7800000007</v>
      </c>
      <c r="FH34" s="5"/>
      <c r="FI34" s="29">
        <f t="shared" si="54"/>
        <v>337167.62999999896</v>
      </c>
      <c r="FJ34" s="5"/>
      <c r="FK34" s="29">
        <f t="shared" si="55"/>
        <v>0</v>
      </c>
      <c r="FL34" s="5"/>
      <c r="FM34" s="29">
        <f t="shared" si="56"/>
        <v>226242.53000000026</v>
      </c>
      <c r="FN34" s="5"/>
      <c r="FO34" s="29">
        <f t="shared" si="57"/>
        <v>6364568.1600000011</v>
      </c>
      <c r="FP34" s="5"/>
      <c r="FQ34" s="29">
        <f t="shared" si="58"/>
        <v>122615.70999999999</v>
      </c>
      <c r="FR34" s="5"/>
      <c r="FS34" s="29">
        <f t="shared" si="59"/>
        <v>106792.47</v>
      </c>
      <c r="FT34" s="5"/>
      <c r="FU34" s="29">
        <f t="shared" si="60"/>
        <v>265242.83999999985</v>
      </c>
      <c r="FV34" s="5"/>
      <c r="FW34" s="29">
        <f t="shared" si="60"/>
        <v>127350.40000000037</v>
      </c>
      <c r="FX34" s="5"/>
      <c r="FY34" s="29">
        <f t="shared" si="60"/>
        <v>49888.25</v>
      </c>
      <c r="FZ34" s="5"/>
      <c r="GA34" s="29">
        <f t="shared" si="61"/>
        <v>5477686.4199999999</v>
      </c>
      <c r="GB34" s="5"/>
      <c r="GC34" s="29">
        <f t="shared" si="62"/>
        <v>0</v>
      </c>
      <c r="GD34" s="5"/>
      <c r="GE34" s="29">
        <f t="shared" si="62"/>
        <v>0</v>
      </c>
      <c r="GF34" s="5"/>
      <c r="GG34" s="29">
        <f t="shared" si="62"/>
        <v>0</v>
      </c>
      <c r="GH34" s="5"/>
      <c r="GI34" s="29">
        <f t="shared" si="63"/>
        <v>0</v>
      </c>
      <c r="GJ34" s="5"/>
      <c r="GK34" s="29">
        <f t="shared" si="64"/>
        <v>0</v>
      </c>
      <c r="GL34" s="5"/>
      <c r="GM34" s="29">
        <f t="shared" si="64"/>
        <v>0</v>
      </c>
      <c r="GN34" s="5"/>
      <c r="GO34" s="29">
        <f>CO34-CQ34</f>
        <v>0</v>
      </c>
      <c r="GP34" s="5"/>
      <c r="GQ34" s="29">
        <f t="shared" si="66"/>
        <v>0</v>
      </c>
      <c r="GR34" s="5"/>
      <c r="GS34" s="29">
        <f t="shared" si="67"/>
        <v>0</v>
      </c>
      <c r="GT34" s="5"/>
      <c r="GU34" s="29">
        <f t="shared" si="67"/>
        <v>0</v>
      </c>
    </row>
    <row r="35" spans="1:203">
      <c r="A35" s="38" t="s">
        <v>113</v>
      </c>
      <c r="C35" s="29"/>
      <c r="E35" s="29"/>
      <c r="G35" s="29"/>
      <c r="I35" s="29">
        <v>0</v>
      </c>
      <c r="K35" s="29">
        <v>0</v>
      </c>
      <c r="M35" s="29">
        <v>0</v>
      </c>
      <c r="O35" s="29">
        <v>0</v>
      </c>
      <c r="Q35" s="29">
        <v>0</v>
      </c>
      <c r="S35" s="29">
        <v>0</v>
      </c>
      <c r="U35" s="29">
        <v>0</v>
      </c>
      <c r="W35" s="29">
        <v>0</v>
      </c>
      <c r="Y35" s="29">
        <v>0</v>
      </c>
      <c r="AA35" s="29">
        <v>0</v>
      </c>
      <c r="AC35" s="29">
        <v>0</v>
      </c>
      <c r="AE35" s="29">
        <v>0</v>
      </c>
      <c r="AG35" s="29">
        <v>0</v>
      </c>
      <c r="AI35" s="29">
        <v>0</v>
      </c>
      <c r="AK35" s="29">
        <v>0</v>
      </c>
      <c r="AM35" s="29">
        <v>0</v>
      </c>
      <c r="AO35" s="29">
        <v>0</v>
      </c>
      <c r="AQ35" s="29">
        <v>0</v>
      </c>
      <c r="AS35" s="29">
        <v>0</v>
      </c>
      <c r="AU35" s="29">
        <v>0</v>
      </c>
      <c r="AW35" s="29">
        <v>0</v>
      </c>
      <c r="AY35" s="29">
        <v>0</v>
      </c>
      <c r="BA35" s="29">
        <v>0</v>
      </c>
      <c r="BC35" s="29">
        <v>0</v>
      </c>
      <c r="BE35" s="29">
        <v>0</v>
      </c>
      <c r="BG35" s="29">
        <v>0</v>
      </c>
      <c r="BI35" s="29">
        <v>0</v>
      </c>
      <c r="BK35" s="29">
        <v>0</v>
      </c>
      <c r="BM35" s="29">
        <v>0</v>
      </c>
      <c r="BO35" s="29">
        <v>0</v>
      </c>
      <c r="BQ35" s="29">
        <v>0</v>
      </c>
      <c r="BS35" s="29">
        <v>0</v>
      </c>
      <c r="BU35" s="29">
        <v>0</v>
      </c>
      <c r="BW35" s="29">
        <v>0</v>
      </c>
      <c r="BY35" s="29">
        <v>0</v>
      </c>
      <c r="CA35" s="29">
        <v>0</v>
      </c>
      <c r="CC35" s="29">
        <v>0</v>
      </c>
      <c r="CE35" s="29">
        <v>0</v>
      </c>
      <c r="CG35" s="29">
        <v>0</v>
      </c>
      <c r="CI35" s="29">
        <v>0</v>
      </c>
      <c r="CK35" s="29">
        <v>0</v>
      </c>
      <c r="CM35" s="29">
        <v>0</v>
      </c>
      <c r="CO35" s="29">
        <v>0</v>
      </c>
      <c r="CQ35" s="29">
        <v>0</v>
      </c>
      <c r="CS35" s="29">
        <v>17699.240000000002</v>
      </c>
      <c r="CU35" s="29">
        <v>0</v>
      </c>
      <c r="CW35" s="29">
        <v>0</v>
      </c>
      <c r="CY35" s="29"/>
      <c r="DA35" s="29"/>
      <c r="DC35" s="29"/>
      <c r="DD35" s="5"/>
      <c r="DE35" s="29"/>
      <c r="DF35" s="5"/>
      <c r="DG35" s="29"/>
      <c r="DH35" s="5"/>
      <c r="DI35" s="29">
        <f t="shared" si="37"/>
        <v>0</v>
      </c>
      <c r="DJ35" s="5"/>
      <c r="DK35" s="29">
        <f t="shared" si="38"/>
        <v>0</v>
      </c>
      <c r="DL35" s="5"/>
      <c r="DM35" s="29">
        <f t="shared" si="38"/>
        <v>0</v>
      </c>
      <c r="DN35" s="5"/>
      <c r="DO35" s="29">
        <f t="shared" si="38"/>
        <v>0</v>
      </c>
      <c r="DP35" s="5"/>
      <c r="DQ35" s="29">
        <f t="shared" si="39"/>
        <v>0</v>
      </c>
      <c r="DR35" s="5"/>
      <c r="DS35" s="29">
        <f t="shared" si="40"/>
        <v>0</v>
      </c>
      <c r="DT35" s="5"/>
      <c r="DU35" s="29">
        <f t="shared" si="40"/>
        <v>0</v>
      </c>
      <c r="DV35" s="5"/>
      <c r="DW35" s="29">
        <f t="shared" si="40"/>
        <v>0</v>
      </c>
      <c r="DX35" s="5"/>
      <c r="DY35" s="29">
        <f t="shared" si="41"/>
        <v>0</v>
      </c>
      <c r="DZ35" s="5"/>
      <c r="EA35" s="29">
        <f t="shared" si="42"/>
        <v>0</v>
      </c>
      <c r="EB35" s="5"/>
      <c r="EC35" s="29">
        <f t="shared" si="43"/>
        <v>0</v>
      </c>
      <c r="ED35" s="5"/>
      <c r="EE35" s="29">
        <f t="shared" si="44"/>
        <v>0</v>
      </c>
      <c r="EF35" s="5"/>
      <c r="EG35" s="29">
        <f t="shared" si="45"/>
        <v>0</v>
      </c>
      <c r="EH35" s="5"/>
      <c r="EI35" s="29">
        <f t="shared" si="46"/>
        <v>0</v>
      </c>
      <c r="EJ35" s="5"/>
      <c r="EK35" s="29">
        <f t="shared" si="46"/>
        <v>0</v>
      </c>
      <c r="EL35" s="5"/>
      <c r="EM35" s="29">
        <f t="shared" si="46"/>
        <v>0</v>
      </c>
      <c r="EN35" s="5"/>
      <c r="EO35" s="29">
        <f t="shared" si="47"/>
        <v>0</v>
      </c>
      <c r="EP35" s="5"/>
      <c r="EQ35" s="29">
        <f t="shared" si="48"/>
        <v>0</v>
      </c>
      <c r="ER35" s="5"/>
      <c r="ES35" s="29">
        <f t="shared" si="49"/>
        <v>0</v>
      </c>
      <c r="ET35" s="5"/>
      <c r="EU35" s="29">
        <f t="shared" si="50"/>
        <v>0</v>
      </c>
      <c r="EV35" s="5"/>
      <c r="EW35" s="29">
        <f t="shared" si="51"/>
        <v>0</v>
      </c>
      <c r="EX35" s="5"/>
      <c r="EY35" s="29">
        <f t="shared" si="52"/>
        <v>0</v>
      </c>
      <c r="EZ35" s="5"/>
      <c r="FA35" s="29">
        <f t="shared" si="52"/>
        <v>0</v>
      </c>
      <c r="FB35" s="5"/>
      <c r="FC35" s="29">
        <f t="shared" si="52"/>
        <v>0</v>
      </c>
      <c r="FD35" s="5"/>
      <c r="FE35" s="29">
        <f t="shared" si="53"/>
        <v>0</v>
      </c>
      <c r="FF35" s="5"/>
      <c r="FG35" s="29">
        <v>0</v>
      </c>
      <c r="FH35" s="5"/>
      <c r="FI35" s="29">
        <f t="shared" si="54"/>
        <v>0</v>
      </c>
      <c r="FJ35" s="5"/>
      <c r="FK35" s="29">
        <f t="shared" si="55"/>
        <v>0</v>
      </c>
      <c r="FL35" s="5"/>
      <c r="FM35" s="29">
        <f t="shared" si="56"/>
        <v>0</v>
      </c>
      <c r="FN35" s="5"/>
      <c r="FO35" s="29">
        <f t="shared" si="57"/>
        <v>0</v>
      </c>
      <c r="FP35" s="5"/>
      <c r="FQ35" s="29">
        <f t="shared" si="58"/>
        <v>0</v>
      </c>
      <c r="FR35" s="5"/>
      <c r="FS35" s="29">
        <f t="shared" si="59"/>
        <v>0</v>
      </c>
      <c r="FT35" s="5"/>
      <c r="FU35" s="29">
        <f t="shared" si="60"/>
        <v>0</v>
      </c>
      <c r="FV35" s="5"/>
      <c r="FW35" s="29">
        <f t="shared" si="60"/>
        <v>0</v>
      </c>
      <c r="FX35" s="5"/>
      <c r="FY35" s="29">
        <f t="shared" si="60"/>
        <v>0</v>
      </c>
      <c r="FZ35" s="5"/>
      <c r="GA35" s="29">
        <f t="shared" si="61"/>
        <v>0</v>
      </c>
      <c r="GB35" s="5"/>
      <c r="GC35" s="29">
        <f t="shared" si="62"/>
        <v>0</v>
      </c>
      <c r="GD35" s="5"/>
      <c r="GE35" s="29">
        <f t="shared" si="62"/>
        <v>0</v>
      </c>
      <c r="GF35" s="5"/>
      <c r="GG35" s="29">
        <f t="shared" si="62"/>
        <v>0</v>
      </c>
      <c r="GH35" s="5"/>
      <c r="GI35" s="29">
        <f t="shared" si="63"/>
        <v>0</v>
      </c>
      <c r="GJ35" s="5"/>
      <c r="GK35" s="29">
        <f t="shared" si="64"/>
        <v>0</v>
      </c>
      <c r="GL35" s="5"/>
      <c r="GM35" s="29">
        <f t="shared" si="64"/>
        <v>0</v>
      </c>
      <c r="GN35" s="5"/>
      <c r="GO35" s="29">
        <f t="shared" si="65"/>
        <v>0</v>
      </c>
      <c r="GP35" s="5"/>
      <c r="GQ35" s="29">
        <f t="shared" si="66"/>
        <v>0</v>
      </c>
      <c r="GR35" s="5"/>
      <c r="GS35" s="29">
        <f t="shared" si="67"/>
        <v>17699.240000000002</v>
      </c>
      <c r="GT35" s="5"/>
      <c r="GU35" s="29">
        <f t="shared" si="67"/>
        <v>0</v>
      </c>
    </row>
    <row r="36" spans="1:203">
      <c r="A36" s="95" t="s">
        <v>114</v>
      </c>
      <c r="C36" s="29"/>
      <c r="E36" s="29"/>
      <c r="G36" s="29"/>
      <c r="K36" s="29"/>
      <c r="M36" s="29"/>
      <c r="O36" s="29"/>
      <c r="S36" s="29"/>
      <c r="U36" s="29"/>
      <c r="W36" s="29"/>
      <c r="AA36" s="29"/>
      <c r="AC36" s="29"/>
      <c r="AE36" s="29"/>
      <c r="AI36" s="29"/>
      <c r="AK36" s="29"/>
      <c r="AM36" s="29">
        <v>0</v>
      </c>
      <c r="AQ36" s="29">
        <v>0</v>
      </c>
      <c r="AS36" s="29">
        <v>0</v>
      </c>
      <c r="AY36" s="29"/>
      <c r="BA36" s="29"/>
      <c r="BG36" s="29"/>
      <c r="BI36" s="29"/>
      <c r="BO36" s="29">
        <v>0</v>
      </c>
      <c r="DC36" s="29"/>
      <c r="DE36" s="29"/>
      <c r="DG36" s="29"/>
      <c r="DI36" s="29"/>
      <c r="DK36" s="29"/>
      <c r="DM36" s="29"/>
      <c r="DO36" s="29"/>
      <c r="DQ36" s="29"/>
      <c r="DS36" s="29"/>
      <c r="DU36" s="29"/>
      <c r="DW36" s="29"/>
      <c r="DY36" s="29"/>
      <c r="EG36" s="29"/>
      <c r="EO36" s="29"/>
      <c r="EW36" s="29">
        <f t="shared" si="51"/>
        <v>0</v>
      </c>
      <c r="FE36" s="29">
        <f t="shared" si="53"/>
        <v>0</v>
      </c>
      <c r="FG36">
        <v>0</v>
      </c>
    </row>
    <row r="37" spans="1:203" ht="15.75" customHeight="1">
      <c r="A37" s="38" t="s">
        <v>115</v>
      </c>
      <c r="C37" s="29"/>
      <c r="E37" s="29"/>
      <c r="G37" s="29"/>
      <c r="I37" s="29">
        <v>-3885580.9200001345</v>
      </c>
      <c r="K37" s="29">
        <v>-34753744.165799931</v>
      </c>
      <c r="M37" s="29">
        <v>-16032111.375800006</v>
      </c>
      <c r="O37" s="29">
        <v>-8721582.0558000039</v>
      </c>
      <c r="Q37" s="29">
        <v>-8226964.2958000042</v>
      </c>
      <c r="S37" s="29">
        <v>-3468136.2942000441</v>
      </c>
      <c r="U37" s="29">
        <v>-1950612.1700000798</v>
      </c>
      <c r="W37" s="29">
        <v>-1318816.0200000042</v>
      </c>
      <c r="Y37" s="29">
        <v>-1156786.8599999999</v>
      </c>
      <c r="AA37" s="29">
        <v>-7869672.1800000016</v>
      </c>
      <c r="AC37" s="29">
        <v>-7077176.5499999998</v>
      </c>
      <c r="AE37" s="29">
        <v>-6164262.29</v>
      </c>
      <c r="AG37" s="29">
        <v>-5946416.7799999993</v>
      </c>
      <c r="AI37" s="29">
        <v>-2431720.2699999991</v>
      </c>
      <c r="AK37" s="29">
        <v>-1428728.63</v>
      </c>
      <c r="AM37" s="29">
        <v>-916713.69000000018</v>
      </c>
      <c r="AO37" s="29">
        <v>-560114.32999999996</v>
      </c>
      <c r="AQ37" s="29">
        <v>-2411924.8399999989</v>
      </c>
      <c r="AS37" s="29">
        <v>-2063948.3699999996</v>
      </c>
      <c r="AU37" s="29">
        <v>-1383869.5699999998</v>
      </c>
      <c r="AW37" s="29">
        <v>-571432.30000000016</v>
      </c>
      <c r="AY37" s="29">
        <v>-2182451.7399999998</v>
      </c>
      <c r="BA37" s="29">
        <v>-1790552.6499999997</v>
      </c>
      <c r="BC37" s="29">
        <v>-1154581.25</v>
      </c>
      <c r="BE37" s="29">
        <v>-757737.62000000011</v>
      </c>
      <c r="BG37" s="29">
        <v>-2586472.0699999966</v>
      </c>
      <c r="BI37" s="29">
        <v>-9728189.9999999981</v>
      </c>
      <c r="BK37" s="29">
        <v>-8492161.540000001</v>
      </c>
      <c r="BM37" s="29">
        <v>-6424711.4500000011</v>
      </c>
      <c r="BO37" s="29">
        <v>-5003945.8499999996</v>
      </c>
      <c r="BQ37" s="29">
        <v>-3457405.3599999994</v>
      </c>
      <c r="BS37" s="29">
        <v>-1921901.1899999997</v>
      </c>
      <c r="BU37" s="29">
        <v>-7092525.9399999995</v>
      </c>
      <c r="BW37" s="29">
        <v>-4826190.9600000009</v>
      </c>
      <c r="BY37" s="29">
        <v>-3953207.6800000006</v>
      </c>
      <c r="CA37" s="29">
        <v>-2565594.8600000003</v>
      </c>
      <c r="CC37" s="29">
        <v>-10731630.310000002</v>
      </c>
      <c r="CE37" s="29">
        <v>-8059836.6500000004</v>
      </c>
      <c r="CG37" s="29">
        <v>-5671947.9780000001</v>
      </c>
      <c r="CI37" s="29">
        <v>-3042456.8</v>
      </c>
      <c r="CK37" s="29">
        <v>-15105129.180622745</v>
      </c>
      <c r="CM37" s="29">
        <v>-9387921.3800000008</v>
      </c>
      <c r="CO37" s="29">
        <v>-8584388.6200000066</v>
      </c>
      <c r="CQ37" s="29">
        <v>-6902220.6500000013</v>
      </c>
      <c r="CS37" s="29">
        <v>-21526943.905214854</v>
      </c>
      <c r="CU37" s="29">
        <v>-7168556.3800000008</v>
      </c>
      <c r="CW37" s="29">
        <v>-5802945.7399999993</v>
      </c>
      <c r="CY37" s="29"/>
      <c r="DA37" s="29"/>
      <c r="DC37" s="29"/>
      <c r="DD37" s="5"/>
      <c r="DE37" s="29"/>
      <c r="DF37" s="5"/>
      <c r="DG37" s="29"/>
      <c r="DH37" s="5"/>
      <c r="DI37" s="29">
        <f t="shared" ref="DI37:DI43" si="68">I37</f>
        <v>-3885580.9200001345</v>
      </c>
      <c r="DJ37" s="5"/>
      <c r="DK37" s="29">
        <f t="shared" ref="DK37:DO43" si="69">K37-M37</f>
        <v>-18721632.789999925</v>
      </c>
      <c r="DL37" s="5"/>
      <c r="DM37" s="29">
        <f t="shared" si="69"/>
        <v>-7310529.3200000022</v>
      </c>
      <c r="DN37" s="5"/>
      <c r="DO37" s="29">
        <f t="shared" si="69"/>
        <v>-494617.75999999978</v>
      </c>
      <c r="DP37" s="5"/>
      <c r="DQ37" s="29">
        <f t="shared" ref="DQ37:DQ43" si="70">Q37</f>
        <v>-8226964.2958000042</v>
      </c>
      <c r="DR37" s="5"/>
      <c r="DS37" s="29">
        <f t="shared" ref="DS37:DW43" si="71">S37-U37</f>
        <v>-1517524.1241999643</v>
      </c>
      <c r="DT37" s="5"/>
      <c r="DU37" s="29">
        <f t="shared" si="71"/>
        <v>-631796.15000007558</v>
      </c>
      <c r="DV37" s="5"/>
      <c r="DW37" s="29">
        <f t="shared" si="71"/>
        <v>-162029.16000000434</v>
      </c>
      <c r="DX37" s="5"/>
      <c r="DY37" s="29">
        <f t="shared" ref="DY37:DY43" si="72">Y37</f>
        <v>-1156786.8599999999</v>
      </c>
      <c r="DZ37" s="5"/>
      <c r="EA37" s="29">
        <f t="shared" ref="EA37:EA43" si="73">AA37-AC37</f>
        <v>-792495.63000000175</v>
      </c>
      <c r="EB37" s="5"/>
      <c r="EC37" s="29">
        <f t="shared" ref="EC37:EC43" si="74">AC37-AE37</f>
        <v>-912914.25999999978</v>
      </c>
      <c r="ED37" s="5"/>
      <c r="EE37" s="29">
        <f t="shared" ref="EE37:EE43" si="75">AE37-AG37</f>
        <v>-217845.51000000071</v>
      </c>
      <c r="EF37" s="5"/>
      <c r="EG37" s="29">
        <f t="shared" ref="EG37:EG43" si="76">AG37</f>
        <v>-5946416.7799999993</v>
      </c>
      <c r="EH37" s="5"/>
      <c r="EI37" s="29">
        <f t="shared" ref="EI37:EM43" si="77">AI37-AK37</f>
        <v>-1002991.6399999992</v>
      </c>
      <c r="EJ37" s="5"/>
      <c r="EK37" s="29">
        <f t="shared" si="77"/>
        <v>-512014.93999999971</v>
      </c>
      <c r="EL37" s="5"/>
      <c r="EM37" s="29">
        <f t="shared" si="77"/>
        <v>-356599.36000000022</v>
      </c>
      <c r="EN37" s="5"/>
      <c r="EO37" s="29">
        <f t="shared" ref="EO37:EO43" si="78">AO37</f>
        <v>-560114.32999999996</v>
      </c>
      <c r="EP37" s="5"/>
      <c r="EQ37" s="29">
        <f t="shared" ref="EQ37:EQ44" si="79">AQ37-AS37</f>
        <v>-347976.46999999927</v>
      </c>
      <c r="ER37" s="5"/>
      <c r="ES37" s="29">
        <f t="shared" ref="ES37:ES44" si="80">AS37-AU37</f>
        <v>-680078.79999999981</v>
      </c>
      <c r="ET37" s="5"/>
      <c r="EU37" s="29">
        <f t="shared" ref="EU37:EU44" si="81">AU37-AW37</f>
        <v>-812437.26999999967</v>
      </c>
      <c r="EV37" s="5"/>
      <c r="EW37" s="29">
        <f t="shared" si="51"/>
        <v>-571432.30000000016</v>
      </c>
      <c r="EX37" s="5"/>
      <c r="EY37" s="29">
        <f t="shared" ref="EY37:FC44" si="82">AY37-BA37</f>
        <v>-391899.09000000008</v>
      </c>
      <c r="EZ37" s="5"/>
      <c r="FA37" s="29">
        <f t="shared" si="82"/>
        <v>-635971.39999999967</v>
      </c>
      <c r="FB37" s="5"/>
      <c r="FC37" s="29">
        <f t="shared" si="82"/>
        <v>-396843.62999999989</v>
      </c>
      <c r="FD37" s="5"/>
      <c r="FE37" s="29">
        <f t="shared" si="53"/>
        <v>-757737.62000000011</v>
      </c>
      <c r="FF37" s="5"/>
      <c r="FG37" s="29">
        <v>-1388874.8499999982</v>
      </c>
      <c r="FH37" s="5"/>
      <c r="FI37" s="29">
        <f t="shared" ref="FI37:FI44" si="83">BI37-BK37</f>
        <v>-1236028.4599999972</v>
      </c>
      <c r="FJ37" s="5"/>
      <c r="FK37" s="29">
        <f t="shared" ref="FK37:FK44" si="84">BK37-BM37</f>
        <v>-2067450.0899999999</v>
      </c>
      <c r="FL37" s="5"/>
      <c r="FM37" s="29">
        <f t="shared" ref="FM37:FM44" si="85">BM37-BO37</f>
        <v>-1420765.6000000015</v>
      </c>
      <c r="FN37" s="5"/>
      <c r="FO37" s="29">
        <f t="shared" ref="FO37:FO44" si="86">BO37-BQ37</f>
        <v>-1546540.4900000002</v>
      </c>
      <c r="FP37" s="5"/>
      <c r="FQ37" s="29">
        <f t="shared" ref="FQ37:FQ44" si="87">BQ37-BS37</f>
        <v>-1535504.1699999997</v>
      </c>
      <c r="FR37" s="5"/>
      <c r="FS37" s="29">
        <f t="shared" ref="FS37:FS44" si="88">BS37</f>
        <v>-1921901.1899999997</v>
      </c>
      <c r="FT37" s="5"/>
      <c r="FU37" s="29">
        <f t="shared" ref="FU37:FY44" si="89">BU37-BW37</f>
        <v>-2266334.9799999986</v>
      </c>
      <c r="FV37" s="5"/>
      <c r="FW37" s="29">
        <f t="shared" si="89"/>
        <v>-872983.28000000026</v>
      </c>
      <c r="FX37" s="5"/>
      <c r="FY37" s="29">
        <f t="shared" si="89"/>
        <v>-1387612.8200000003</v>
      </c>
      <c r="FZ37" s="5"/>
      <c r="GA37" s="29">
        <f t="shared" ref="GA37:GA44" si="90">CA37</f>
        <v>-2565594.8600000003</v>
      </c>
      <c r="GB37" s="5"/>
      <c r="GC37" s="29">
        <f t="shared" ref="GC37:GG44" si="91">CC37-CE37</f>
        <v>-2671793.660000002</v>
      </c>
      <c r="GD37" s="5"/>
      <c r="GE37" s="29">
        <f t="shared" si="91"/>
        <v>-2387888.6720000003</v>
      </c>
      <c r="GF37" s="5"/>
      <c r="GG37" s="29">
        <f t="shared" si="91"/>
        <v>-2629491.1780000003</v>
      </c>
      <c r="GH37" s="5"/>
      <c r="GI37" s="29">
        <f t="shared" ref="GI37:GI44" si="92">CI37</f>
        <v>-3042456.8</v>
      </c>
      <c r="GJ37" s="5"/>
      <c r="GK37" s="29">
        <f t="shared" ref="GK37:GM44" si="93">CK37-CM37</f>
        <v>-5717207.8006227445</v>
      </c>
      <c r="GL37" s="5"/>
      <c r="GM37" s="29">
        <f t="shared" si="93"/>
        <v>-803532.75999999419</v>
      </c>
      <c r="GN37" s="5"/>
      <c r="GO37" s="29">
        <f t="shared" ref="GO37:GO44" si="94">CO37-CQ37</f>
        <v>-1682167.9700000053</v>
      </c>
      <c r="GP37" s="5"/>
      <c r="GQ37" s="29">
        <f t="shared" ref="GQ37:GQ44" si="95">CQ37</f>
        <v>-6902220.6500000013</v>
      </c>
      <c r="GR37" s="5"/>
      <c r="GS37" s="29">
        <f t="shared" ref="GS37:GU44" si="96">CS37-CU37</f>
        <v>-14358387.525214853</v>
      </c>
      <c r="GT37" s="5"/>
      <c r="GU37" s="29">
        <f t="shared" si="96"/>
        <v>-1365610.6400000015</v>
      </c>
    </row>
    <row r="38" spans="1:203">
      <c r="A38" s="38" t="s">
        <v>116</v>
      </c>
      <c r="C38" s="29"/>
      <c r="E38" s="29"/>
      <c r="G38" s="29"/>
      <c r="I38" s="29">
        <v>0</v>
      </c>
      <c r="K38" s="29">
        <v>0</v>
      </c>
      <c r="M38" s="29">
        <v>0</v>
      </c>
      <c r="O38" s="29">
        <v>0</v>
      </c>
      <c r="Q38" s="29">
        <v>0</v>
      </c>
      <c r="S38" s="29">
        <v>0</v>
      </c>
      <c r="U38" s="29">
        <v>0</v>
      </c>
      <c r="W38" s="29">
        <v>0</v>
      </c>
      <c r="Y38" s="29">
        <v>0</v>
      </c>
      <c r="AA38" s="29">
        <v>0</v>
      </c>
      <c r="AC38" s="29">
        <v>0</v>
      </c>
      <c r="AE38" s="29">
        <v>0</v>
      </c>
      <c r="AG38" s="29">
        <v>0</v>
      </c>
      <c r="AI38" s="29">
        <v>0</v>
      </c>
      <c r="AK38" s="29">
        <v>0</v>
      </c>
      <c r="AM38" s="29">
        <v>0</v>
      </c>
      <c r="AO38" s="29">
        <v>0</v>
      </c>
      <c r="AQ38" s="29">
        <v>0</v>
      </c>
      <c r="AS38" s="29">
        <v>0</v>
      </c>
      <c r="AU38" s="29">
        <v>0</v>
      </c>
      <c r="AW38" s="29">
        <v>0</v>
      </c>
      <c r="AY38" s="29">
        <v>0</v>
      </c>
      <c r="BA38" s="29">
        <v>0</v>
      </c>
      <c r="BC38" s="29">
        <v>0</v>
      </c>
      <c r="BE38" s="29">
        <v>0</v>
      </c>
      <c r="BG38" s="29">
        <v>0</v>
      </c>
      <c r="BI38" s="29">
        <v>0</v>
      </c>
      <c r="BK38" s="29">
        <v>0</v>
      </c>
      <c r="BM38" s="29">
        <v>0</v>
      </c>
      <c r="BO38" s="29">
        <v>0</v>
      </c>
      <c r="BQ38" s="29">
        <v>0</v>
      </c>
      <c r="BS38" s="29">
        <v>0</v>
      </c>
      <c r="BU38" s="29">
        <v>0</v>
      </c>
      <c r="BW38" s="29">
        <v>0</v>
      </c>
      <c r="BY38" s="29">
        <v>0</v>
      </c>
      <c r="CA38" s="29">
        <v>0</v>
      </c>
      <c r="CC38" s="29">
        <v>0</v>
      </c>
      <c r="CE38" s="29">
        <v>0</v>
      </c>
      <c r="CG38" s="29">
        <v>0</v>
      </c>
      <c r="CI38" s="29">
        <v>0</v>
      </c>
      <c r="CK38" s="29">
        <v>0</v>
      </c>
      <c r="CM38" s="29">
        <v>0</v>
      </c>
      <c r="CO38" s="29">
        <v>0</v>
      </c>
      <c r="CQ38" s="29">
        <v>0</v>
      </c>
      <c r="CS38" s="29">
        <v>0</v>
      </c>
      <c r="CU38" s="29">
        <v>0</v>
      </c>
      <c r="CW38" s="29">
        <v>0</v>
      </c>
      <c r="CY38" s="29"/>
      <c r="DA38" s="29"/>
      <c r="DC38" s="29"/>
      <c r="DD38" s="5"/>
      <c r="DE38" s="29"/>
      <c r="DF38" s="5"/>
      <c r="DG38" s="29"/>
      <c r="DH38" s="5"/>
      <c r="DI38" s="29">
        <f t="shared" si="68"/>
        <v>0</v>
      </c>
      <c r="DJ38" s="5"/>
      <c r="DK38" s="29">
        <f t="shared" si="69"/>
        <v>0</v>
      </c>
      <c r="DL38" s="5"/>
      <c r="DM38" s="29">
        <f t="shared" si="69"/>
        <v>0</v>
      </c>
      <c r="DN38" s="5"/>
      <c r="DO38" s="29">
        <f t="shared" si="69"/>
        <v>0</v>
      </c>
      <c r="DP38" s="5"/>
      <c r="DQ38" s="29">
        <f t="shared" si="70"/>
        <v>0</v>
      </c>
      <c r="DR38" s="5"/>
      <c r="DS38" s="29">
        <f t="shared" si="71"/>
        <v>0</v>
      </c>
      <c r="DT38" s="5"/>
      <c r="DU38" s="29">
        <f t="shared" si="71"/>
        <v>0</v>
      </c>
      <c r="DV38" s="5"/>
      <c r="DW38" s="29">
        <f t="shared" si="71"/>
        <v>0</v>
      </c>
      <c r="DX38" s="5"/>
      <c r="DY38" s="29">
        <f t="shared" si="72"/>
        <v>0</v>
      </c>
      <c r="DZ38" s="5"/>
      <c r="EA38" s="29">
        <f t="shared" si="73"/>
        <v>0</v>
      </c>
      <c r="EB38" s="5"/>
      <c r="EC38" s="29">
        <f t="shared" si="74"/>
        <v>0</v>
      </c>
      <c r="ED38" s="5"/>
      <c r="EE38" s="29">
        <f t="shared" si="75"/>
        <v>0</v>
      </c>
      <c r="EF38" s="5"/>
      <c r="EG38" s="29">
        <f t="shared" si="76"/>
        <v>0</v>
      </c>
      <c r="EH38" s="5"/>
      <c r="EI38" s="29">
        <f t="shared" si="77"/>
        <v>0</v>
      </c>
      <c r="EJ38" s="5"/>
      <c r="EK38" s="29">
        <f t="shared" si="77"/>
        <v>0</v>
      </c>
      <c r="EL38" s="5"/>
      <c r="EM38" s="29">
        <f t="shared" si="77"/>
        <v>0</v>
      </c>
      <c r="EN38" s="5"/>
      <c r="EO38" s="29">
        <f t="shared" si="78"/>
        <v>0</v>
      </c>
      <c r="EP38" s="5"/>
      <c r="EQ38" s="29">
        <f t="shared" si="79"/>
        <v>0</v>
      </c>
      <c r="ER38" s="5"/>
      <c r="ES38" s="29">
        <f t="shared" si="80"/>
        <v>0</v>
      </c>
      <c r="ET38" s="5"/>
      <c r="EU38" s="29">
        <f t="shared" si="81"/>
        <v>0</v>
      </c>
      <c r="EV38" s="5"/>
      <c r="EW38" s="29">
        <f t="shared" si="51"/>
        <v>0</v>
      </c>
      <c r="EX38" s="5"/>
      <c r="EY38" s="29">
        <f t="shared" si="82"/>
        <v>0</v>
      </c>
      <c r="EZ38" s="5"/>
      <c r="FA38" s="29">
        <f t="shared" si="82"/>
        <v>0</v>
      </c>
      <c r="FB38" s="5"/>
      <c r="FC38" s="29">
        <f t="shared" si="82"/>
        <v>0</v>
      </c>
      <c r="FD38" s="5"/>
      <c r="FE38" s="29">
        <f t="shared" si="53"/>
        <v>0</v>
      </c>
      <c r="FF38" s="5"/>
      <c r="FG38" s="29">
        <v>0</v>
      </c>
      <c r="FH38" s="5"/>
      <c r="FI38" s="29">
        <f t="shared" si="83"/>
        <v>0</v>
      </c>
      <c r="FJ38" s="5"/>
      <c r="FK38" s="29">
        <f t="shared" si="84"/>
        <v>0</v>
      </c>
      <c r="FL38" s="5"/>
      <c r="FM38" s="29">
        <f t="shared" si="85"/>
        <v>0</v>
      </c>
      <c r="FN38" s="5"/>
      <c r="FO38" s="29">
        <f t="shared" si="86"/>
        <v>0</v>
      </c>
      <c r="FP38" s="5"/>
      <c r="FQ38" s="29">
        <f t="shared" si="87"/>
        <v>0</v>
      </c>
      <c r="FR38" s="5"/>
      <c r="FS38" s="29">
        <f t="shared" si="88"/>
        <v>0</v>
      </c>
      <c r="FT38" s="5"/>
      <c r="FU38" s="29">
        <f t="shared" si="89"/>
        <v>0</v>
      </c>
      <c r="FV38" s="5"/>
      <c r="FW38" s="29">
        <f t="shared" si="89"/>
        <v>0</v>
      </c>
      <c r="FX38" s="5"/>
      <c r="FY38" s="29">
        <f t="shared" si="89"/>
        <v>0</v>
      </c>
      <c r="FZ38" s="5"/>
      <c r="GA38" s="29">
        <f t="shared" si="90"/>
        <v>0</v>
      </c>
      <c r="GB38" s="5"/>
      <c r="GC38" s="29">
        <f t="shared" si="91"/>
        <v>0</v>
      </c>
      <c r="GD38" s="5"/>
      <c r="GE38" s="29">
        <f t="shared" si="91"/>
        <v>0</v>
      </c>
      <c r="GF38" s="5"/>
      <c r="GG38" s="29">
        <f t="shared" si="91"/>
        <v>0</v>
      </c>
      <c r="GH38" s="5"/>
      <c r="GI38" s="29">
        <f t="shared" si="92"/>
        <v>0</v>
      </c>
      <c r="GJ38" s="5"/>
      <c r="GK38" s="29">
        <f t="shared" si="93"/>
        <v>0</v>
      </c>
      <c r="GL38" s="5"/>
      <c r="GM38" s="29">
        <f t="shared" si="93"/>
        <v>0</v>
      </c>
      <c r="GN38" s="5"/>
      <c r="GO38" s="29">
        <f t="shared" si="94"/>
        <v>0</v>
      </c>
      <c r="GP38" s="5"/>
      <c r="GQ38" s="29">
        <f t="shared" si="95"/>
        <v>0</v>
      </c>
      <c r="GR38" s="5"/>
      <c r="GS38" s="29">
        <f t="shared" si="96"/>
        <v>0</v>
      </c>
      <c r="GT38" s="5"/>
      <c r="GU38" s="29">
        <f t="shared" si="96"/>
        <v>0</v>
      </c>
    </row>
    <row r="39" spans="1:203">
      <c r="A39" s="38" t="s">
        <v>117</v>
      </c>
      <c r="C39" s="29"/>
      <c r="E39" s="29"/>
      <c r="G39" s="29"/>
      <c r="I39" s="29">
        <f>SUM(I40:I42)</f>
        <v>-11962.16000000004</v>
      </c>
      <c r="K39" s="29">
        <f>SUM(K40:K42)</f>
        <v>-2021700</v>
      </c>
      <c r="M39" s="29">
        <f>SUM(M40:M42)</f>
        <v>-2021700.0000000002</v>
      </c>
      <c r="O39" s="29">
        <f>SUM(O40:O42)</f>
        <v>-2021700</v>
      </c>
      <c r="Q39" s="29">
        <f>SUM(Q40:Q42)</f>
        <v>0</v>
      </c>
      <c r="S39" s="29">
        <f>SUM(S40:S42)</f>
        <v>-1974500</v>
      </c>
      <c r="U39" s="29">
        <f>SUM(U40:U42)</f>
        <v>-1974500</v>
      </c>
      <c r="W39" s="29">
        <v>-200000</v>
      </c>
      <c r="Y39" s="29">
        <f>SUM(Y40:Y42)</f>
        <v>-200000</v>
      </c>
      <c r="AA39" s="29">
        <v>-1215182.0100000002</v>
      </c>
      <c r="AC39" s="29">
        <v>-1080181.56</v>
      </c>
      <c r="AE39" s="29">
        <v>-1080181.56</v>
      </c>
      <c r="AG39" s="29">
        <v>-497420.19000000006</v>
      </c>
      <c r="AI39" s="29">
        <f>SUM(AI40:AI42)</f>
        <v>-1863500</v>
      </c>
      <c r="AK39" s="29">
        <v>-1863500</v>
      </c>
      <c r="AM39" s="29">
        <v>-1763500</v>
      </c>
      <c r="AO39" s="29">
        <v>-447500</v>
      </c>
      <c r="AQ39" s="29">
        <v>-300000</v>
      </c>
      <c r="AS39" s="29">
        <v>-300000</v>
      </c>
      <c r="AU39" s="29">
        <v>-300000</v>
      </c>
      <c r="AW39" s="29">
        <v>-100000</v>
      </c>
      <c r="AY39" s="29">
        <v>-2385000</v>
      </c>
      <c r="BA39" s="29">
        <v>-2185000</v>
      </c>
      <c r="BC39" s="29">
        <v>-1985000</v>
      </c>
      <c r="BE39" s="29">
        <v>-1200000</v>
      </c>
      <c r="BG39" s="29">
        <v>-7097079.1299999999</v>
      </c>
      <c r="BI39" s="29">
        <v>-7297079.1299999999</v>
      </c>
      <c r="BK39" s="29">
        <v>-7217117.1299999999</v>
      </c>
      <c r="BM39" s="29">
        <v>-7150000</v>
      </c>
      <c r="BO39" s="29">
        <v>-7000000</v>
      </c>
      <c r="BQ39" s="29">
        <v>-7000000</v>
      </c>
      <c r="BS39" s="29">
        <v>-7000000</v>
      </c>
      <c r="BU39" s="29">
        <f>SUM(BU40:BU42)</f>
        <v>-200000</v>
      </c>
      <c r="BW39" s="29">
        <f>SUM(BW40:BW42)</f>
        <v>0</v>
      </c>
      <c r="BY39" s="29">
        <f>SUM(BY40:BY42)</f>
        <v>0</v>
      </c>
      <c r="CA39" s="29">
        <f>SUM(CA40:CA42)</f>
        <v>0</v>
      </c>
      <c r="CC39" s="29">
        <v>-1050000</v>
      </c>
      <c r="CE39" s="29">
        <f>SUM(CE40:CE42)</f>
        <v>-1050000</v>
      </c>
      <c r="CG39" s="29">
        <f>SUM(CG40:CG42)</f>
        <v>-750000</v>
      </c>
      <c r="CI39" s="29">
        <f>SUM(CI40:CI42)</f>
        <v>-750000</v>
      </c>
      <c r="CK39" s="29">
        <f>SUM(CK40:CK42)</f>
        <v>-274600</v>
      </c>
      <c r="CM39" s="29">
        <f>SUM(CM40:CM42)</f>
        <v>-149600</v>
      </c>
      <c r="CO39" s="29">
        <v>-127500</v>
      </c>
      <c r="CQ39" s="29">
        <f>SUM(CQ40:CQ42)</f>
        <v>-127500.00000000001</v>
      </c>
      <c r="CS39" s="29">
        <f>SUM(CS40:CS42)</f>
        <v>-97500</v>
      </c>
      <c r="CU39" s="29">
        <v>-54999.999999999971</v>
      </c>
      <c r="CW39" s="29">
        <v>-39999.999999999964</v>
      </c>
      <c r="CY39" s="29"/>
      <c r="DA39" s="29"/>
      <c r="DC39" s="29"/>
      <c r="DD39" s="5"/>
      <c r="DE39" s="29"/>
      <c r="DF39" s="5"/>
      <c r="DG39" s="29"/>
      <c r="DH39" s="5"/>
      <c r="DI39" s="29">
        <f t="shared" si="68"/>
        <v>-11962.16000000004</v>
      </c>
      <c r="DJ39" s="5"/>
      <c r="DK39" s="29">
        <f t="shared" si="69"/>
        <v>0</v>
      </c>
      <c r="DL39" s="5"/>
      <c r="DM39" s="29">
        <f t="shared" si="69"/>
        <v>0</v>
      </c>
      <c r="DN39" s="5"/>
      <c r="DO39" s="29">
        <f t="shared" si="69"/>
        <v>-2021700</v>
      </c>
      <c r="DP39" s="5"/>
      <c r="DQ39" s="29">
        <f t="shared" si="70"/>
        <v>0</v>
      </c>
      <c r="DR39" s="5"/>
      <c r="DS39" s="29">
        <f t="shared" si="71"/>
        <v>0</v>
      </c>
      <c r="DT39" s="5"/>
      <c r="DU39" s="29">
        <f t="shared" si="71"/>
        <v>-1774500</v>
      </c>
      <c r="DV39" s="5"/>
      <c r="DW39" s="29">
        <f t="shared" si="71"/>
        <v>0</v>
      </c>
      <c r="DX39" s="5"/>
      <c r="DY39" s="29">
        <f t="shared" si="72"/>
        <v>-200000</v>
      </c>
      <c r="DZ39" s="5"/>
      <c r="EA39" s="29">
        <f t="shared" si="73"/>
        <v>-135000.45000000019</v>
      </c>
      <c r="EB39" s="5"/>
      <c r="EC39" s="29">
        <f t="shared" si="74"/>
        <v>0</v>
      </c>
      <c r="ED39" s="5"/>
      <c r="EE39" s="29">
        <f t="shared" si="75"/>
        <v>-582761.37</v>
      </c>
      <c r="EF39" s="5"/>
      <c r="EG39" s="29">
        <f t="shared" si="76"/>
        <v>-497420.19000000006</v>
      </c>
      <c r="EH39" s="5"/>
      <c r="EI39" s="29">
        <f t="shared" si="77"/>
        <v>0</v>
      </c>
      <c r="EJ39" s="5"/>
      <c r="EK39" s="29">
        <f t="shared" si="77"/>
        <v>-100000</v>
      </c>
      <c r="EL39" s="5"/>
      <c r="EM39" s="29">
        <f t="shared" si="77"/>
        <v>-1316000</v>
      </c>
      <c r="EN39" s="5"/>
      <c r="EO39" s="29">
        <f t="shared" si="78"/>
        <v>-447500</v>
      </c>
      <c r="EP39" s="5"/>
      <c r="EQ39" s="29">
        <f t="shared" si="79"/>
        <v>0</v>
      </c>
      <c r="ER39" s="5"/>
      <c r="ES39" s="29">
        <f t="shared" si="80"/>
        <v>0</v>
      </c>
      <c r="ET39" s="5"/>
      <c r="EU39" s="29">
        <f t="shared" si="81"/>
        <v>-200000</v>
      </c>
      <c r="EV39" s="5"/>
      <c r="EW39" s="29">
        <f t="shared" si="51"/>
        <v>-100000</v>
      </c>
      <c r="EX39" s="5"/>
      <c r="EY39" s="29">
        <f t="shared" si="82"/>
        <v>-200000</v>
      </c>
      <c r="EZ39" s="5"/>
      <c r="FA39" s="29">
        <f t="shared" si="82"/>
        <v>-200000</v>
      </c>
      <c r="FB39" s="5"/>
      <c r="FC39" s="29">
        <f t="shared" si="82"/>
        <v>-785000</v>
      </c>
      <c r="FD39" s="5"/>
      <c r="FE39" s="29">
        <f t="shared" si="53"/>
        <v>-1200000</v>
      </c>
      <c r="FF39" s="5"/>
      <c r="FG39" s="29">
        <v>0</v>
      </c>
      <c r="FH39" s="5"/>
      <c r="FI39" s="29">
        <f t="shared" si="83"/>
        <v>-79962</v>
      </c>
      <c r="FJ39" s="5"/>
      <c r="FK39" s="29">
        <f t="shared" si="84"/>
        <v>-67117.129999999888</v>
      </c>
      <c r="FL39" s="5"/>
      <c r="FM39" s="29">
        <f t="shared" si="85"/>
        <v>-150000</v>
      </c>
      <c r="FN39" s="5"/>
      <c r="FO39" s="29">
        <f t="shared" si="86"/>
        <v>0</v>
      </c>
      <c r="FP39" s="5"/>
      <c r="FQ39" s="29">
        <f t="shared" si="87"/>
        <v>0</v>
      </c>
      <c r="FR39" s="5"/>
      <c r="FS39" s="29">
        <f t="shared" si="88"/>
        <v>-7000000</v>
      </c>
      <c r="FT39" s="5"/>
      <c r="FU39" s="29">
        <f t="shared" si="89"/>
        <v>-200000</v>
      </c>
      <c r="FV39" s="5"/>
      <c r="FW39" s="29">
        <f t="shared" si="89"/>
        <v>0</v>
      </c>
      <c r="FX39" s="5"/>
      <c r="FY39" s="29">
        <f t="shared" si="89"/>
        <v>0</v>
      </c>
      <c r="FZ39" s="5"/>
      <c r="GA39" s="29">
        <f t="shared" si="90"/>
        <v>0</v>
      </c>
      <c r="GB39" s="5"/>
      <c r="GC39" s="29">
        <f t="shared" si="91"/>
        <v>0</v>
      </c>
      <c r="GD39" s="5"/>
      <c r="GE39" s="29">
        <f t="shared" si="91"/>
        <v>-300000</v>
      </c>
      <c r="GF39" s="5"/>
      <c r="GG39" s="29">
        <f t="shared" si="91"/>
        <v>0</v>
      </c>
      <c r="GH39" s="5"/>
      <c r="GI39" s="29">
        <f t="shared" si="92"/>
        <v>-750000</v>
      </c>
      <c r="GJ39" s="5"/>
      <c r="GK39" s="29">
        <f t="shared" si="93"/>
        <v>-125000</v>
      </c>
      <c r="GL39" s="5"/>
      <c r="GM39" s="29">
        <f t="shared" si="93"/>
        <v>-22100</v>
      </c>
      <c r="GN39" s="5"/>
      <c r="GO39" s="29">
        <f t="shared" si="94"/>
        <v>0</v>
      </c>
      <c r="GP39" s="5"/>
      <c r="GQ39" s="29">
        <f t="shared" si="95"/>
        <v>-127500.00000000001</v>
      </c>
      <c r="GR39" s="5"/>
      <c r="GS39" s="29">
        <f t="shared" si="96"/>
        <v>-42500.000000000029</v>
      </c>
      <c r="GT39" s="5"/>
      <c r="GU39" s="29">
        <f t="shared" si="96"/>
        <v>-15000.000000000007</v>
      </c>
    </row>
    <row r="40" spans="1:203">
      <c r="A40" s="96" t="s">
        <v>118</v>
      </c>
      <c r="C40" s="29"/>
      <c r="E40" s="29"/>
      <c r="G40" s="29"/>
      <c r="I40" s="29">
        <v>-11962.16000000004</v>
      </c>
      <c r="K40" s="29">
        <v>0</v>
      </c>
      <c r="M40" s="29">
        <v>0</v>
      </c>
      <c r="O40" s="29">
        <v>0</v>
      </c>
      <c r="Q40" s="29">
        <v>0</v>
      </c>
      <c r="S40" s="29">
        <v>0</v>
      </c>
      <c r="U40" s="29">
        <v>0</v>
      </c>
      <c r="W40" s="29">
        <v>0</v>
      </c>
      <c r="Y40" s="29">
        <v>0</v>
      </c>
      <c r="AA40" s="29">
        <v>-18980</v>
      </c>
      <c r="AC40" s="29">
        <v>-18980.000000000018</v>
      </c>
      <c r="AE40" s="29">
        <v>-18980</v>
      </c>
      <c r="AG40" s="29">
        <v>-18980.000000000018</v>
      </c>
      <c r="AI40" s="29">
        <v>0</v>
      </c>
      <c r="AK40" s="29">
        <v>0</v>
      </c>
      <c r="AM40" s="29">
        <v>0</v>
      </c>
      <c r="AO40" s="29">
        <v>0</v>
      </c>
      <c r="AQ40" s="29">
        <v>0</v>
      </c>
      <c r="AS40" s="29">
        <v>0</v>
      </c>
      <c r="AU40" s="29">
        <v>0</v>
      </c>
      <c r="AW40" s="29">
        <v>0</v>
      </c>
      <c r="AY40" s="29">
        <v>0</v>
      </c>
      <c r="BA40" s="29">
        <v>0</v>
      </c>
      <c r="BC40" s="29">
        <v>0</v>
      </c>
      <c r="BE40" s="29">
        <v>0</v>
      </c>
      <c r="BG40" s="29">
        <v>-97079.129999999888</v>
      </c>
      <c r="BI40" s="29">
        <v>-297079.12999999989</v>
      </c>
      <c r="BK40" s="29">
        <v>-217117.12999999989</v>
      </c>
      <c r="BM40" s="29">
        <v>-150000</v>
      </c>
      <c r="BO40" s="29">
        <v>0</v>
      </c>
      <c r="BQ40" s="29">
        <v>0</v>
      </c>
      <c r="BS40" s="29">
        <v>0</v>
      </c>
      <c r="BU40" s="29">
        <v>-200000</v>
      </c>
      <c r="BW40" s="29">
        <v>0</v>
      </c>
      <c r="BY40" s="29">
        <v>0</v>
      </c>
      <c r="CA40" s="29">
        <v>0</v>
      </c>
      <c r="CC40" s="29">
        <v>-1050000</v>
      </c>
      <c r="CE40" s="29">
        <v>-1050000</v>
      </c>
      <c r="CG40" s="29">
        <v>-750000</v>
      </c>
      <c r="CI40" s="29">
        <v>-750000</v>
      </c>
      <c r="CK40" s="29">
        <v>-149600</v>
      </c>
      <c r="CM40" s="29">
        <v>0</v>
      </c>
      <c r="CO40" s="29">
        <v>0</v>
      </c>
      <c r="CQ40" s="29">
        <v>0</v>
      </c>
      <c r="CS40" s="29">
        <v>-2500</v>
      </c>
      <c r="CU40" s="29">
        <v>0</v>
      </c>
      <c r="CW40" s="29">
        <v>0</v>
      </c>
      <c r="CY40" s="29"/>
      <c r="DA40" s="29"/>
      <c r="DC40" s="29"/>
      <c r="DD40" s="5"/>
      <c r="DE40" s="29"/>
      <c r="DF40" s="5"/>
      <c r="DG40" s="29"/>
      <c r="DH40" s="5"/>
      <c r="DI40" s="29">
        <f t="shared" si="68"/>
        <v>-11962.16000000004</v>
      </c>
      <c r="DJ40" s="5"/>
      <c r="DK40" s="29">
        <f t="shared" si="69"/>
        <v>0</v>
      </c>
      <c r="DL40" s="5"/>
      <c r="DM40" s="29">
        <f t="shared" si="69"/>
        <v>0</v>
      </c>
      <c r="DN40" s="5"/>
      <c r="DO40" s="29">
        <f t="shared" si="69"/>
        <v>0</v>
      </c>
      <c r="DP40" s="5"/>
      <c r="DQ40" s="29">
        <f t="shared" si="70"/>
        <v>0</v>
      </c>
      <c r="DR40" s="5"/>
      <c r="DS40" s="29">
        <f t="shared" si="71"/>
        <v>0</v>
      </c>
      <c r="DT40" s="5"/>
      <c r="DU40" s="29">
        <f t="shared" si="71"/>
        <v>0</v>
      </c>
      <c r="DV40" s="5"/>
      <c r="DW40" s="29">
        <f t="shared" si="71"/>
        <v>0</v>
      </c>
      <c r="DX40" s="5"/>
      <c r="DY40" s="29">
        <f t="shared" si="72"/>
        <v>0</v>
      </c>
      <c r="DZ40" s="5"/>
      <c r="EA40" s="29">
        <f t="shared" si="73"/>
        <v>0</v>
      </c>
      <c r="EB40" s="5"/>
      <c r="EC40" s="29">
        <f t="shared" si="74"/>
        <v>0</v>
      </c>
      <c r="ED40" s="5"/>
      <c r="EE40" s="29">
        <f t="shared" si="75"/>
        <v>0</v>
      </c>
      <c r="EF40" s="5"/>
      <c r="EG40" s="29">
        <f t="shared" si="76"/>
        <v>-18980.000000000018</v>
      </c>
      <c r="EH40" s="5"/>
      <c r="EI40" s="29">
        <f t="shared" si="77"/>
        <v>0</v>
      </c>
      <c r="EJ40" s="5"/>
      <c r="EK40" s="29">
        <f t="shared" si="77"/>
        <v>0</v>
      </c>
      <c r="EL40" s="5"/>
      <c r="EM40" s="29">
        <f t="shared" si="77"/>
        <v>0</v>
      </c>
      <c r="EN40" s="5"/>
      <c r="EO40" s="29">
        <f t="shared" si="78"/>
        <v>0</v>
      </c>
      <c r="EP40" s="5"/>
      <c r="EQ40" s="29">
        <f t="shared" si="79"/>
        <v>0</v>
      </c>
      <c r="ER40" s="5"/>
      <c r="ES40" s="29">
        <f t="shared" si="80"/>
        <v>0</v>
      </c>
      <c r="ET40" s="5"/>
      <c r="EU40" s="29">
        <f t="shared" si="81"/>
        <v>0</v>
      </c>
      <c r="EV40" s="5"/>
      <c r="EW40" s="29">
        <f t="shared" si="51"/>
        <v>0</v>
      </c>
      <c r="EX40" s="5"/>
      <c r="EY40" s="29">
        <f t="shared" si="82"/>
        <v>0</v>
      </c>
      <c r="EZ40" s="5"/>
      <c r="FA40" s="29">
        <f t="shared" si="82"/>
        <v>0</v>
      </c>
      <c r="FB40" s="5"/>
      <c r="FC40" s="29">
        <f t="shared" si="82"/>
        <v>0</v>
      </c>
      <c r="FD40" s="5"/>
      <c r="FE40" s="29">
        <f t="shared" si="53"/>
        <v>0</v>
      </c>
      <c r="FF40" s="5"/>
      <c r="FG40" s="29">
        <v>0</v>
      </c>
      <c r="FH40" s="5"/>
      <c r="FI40" s="29">
        <f t="shared" si="83"/>
        <v>-79962</v>
      </c>
      <c r="FJ40" s="5"/>
      <c r="FK40" s="29">
        <f t="shared" si="84"/>
        <v>-67117.129999999888</v>
      </c>
      <c r="FL40" s="5"/>
      <c r="FM40" s="29">
        <f t="shared" si="85"/>
        <v>-150000</v>
      </c>
      <c r="FN40" s="5"/>
      <c r="FO40" s="29">
        <f t="shared" si="86"/>
        <v>0</v>
      </c>
      <c r="FP40" s="5"/>
      <c r="FQ40" s="29">
        <f t="shared" si="87"/>
        <v>0</v>
      </c>
      <c r="FR40" s="5"/>
      <c r="FS40" s="29">
        <f t="shared" si="88"/>
        <v>0</v>
      </c>
      <c r="FT40" s="5"/>
      <c r="FU40" s="29">
        <f t="shared" si="89"/>
        <v>-200000</v>
      </c>
      <c r="FV40" s="5"/>
      <c r="FW40" s="29">
        <f t="shared" si="89"/>
        <v>0</v>
      </c>
      <c r="FX40" s="5"/>
      <c r="FY40" s="29">
        <f t="shared" si="89"/>
        <v>0</v>
      </c>
      <c r="FZ40" s="5"/>
      <c r="GA40" s="29">
        <f t="shared" si="90"/>
        <v>0</v>
      </c>
      <c r="GB40" s="5"/>
      <c r="GC40" s="29">
        <f t="shared" si="91"/>
        <v>0</v>
      </c>
      <c r="GD40" s="5"/>
      <c r="GE40" s="29">
        <f t="shared" si="91"/>
        <v>-300000</v>
      </c>
      <c r="GF40" s="5"/>
      <c r="GG40" s="29">
        <f t="shared" si="91"/>
        <v>0</v>
      </c>
      <c r="GH40" s="5"/>
      <c r="GI40" s="29">
        <f t="shared" si="92"/>
        <v>-750000</v>
      </c>
      <c r="GJ40" s="5"/>
      <c r="GK40" s="29">
        <f t="shared" si="93"/>
        <v>-149600</v>
      </c>
      <c r="GL40" s="5"/>
      <c r="GM40" s="29">
        <f t="shared" si="93"/>
        <v>0</v>
      </c>
      <c r="GN40" s="5"/>
      <c r="GO40" s="29">
        <f t="shared" si="94"/>
        <v>0</v>
      </c>
      <c r="GP40" s="5"/>
      <c r="GQ40" s="29">
        <f t="shared" si="95"/>
        <v>0</v>
      </c>
      <c r="GR40" s="5"/>
      <c r="GS40" s="29">
        <f t="shared" si="96"/>
        <v>-2500</v>
      </c>
      <c r="GT40" s="5"/>
      <c r="GU40" s="29">
        <f t="shared" si="96"/>
        <v>0</v>
      </c>
    </row>
    <row r="41" spans="1:203">
      <c r="A41" s="96" t="s">
        <v>119</v>
      </c>
      <c r="C41" s="29"/>
      <c r="E41" s="29"/>
      <c r="G41" s="29"/>
      <c r="I41" s="29">
        <v>0</v>
      </c>
      <c r="K41" s="29">
        <v>0</v>
      </c>
      <c r="M41" s="29">
        <v>0</v>
      </c>
      <c r="O41" s="29">
        <v>0</v>
      </c>
      <c r="Q41" s="29">
        <v>0</v>
      </c>
      <c r="S41" s="29">
        <v>-200000</v>
      </c>
      <c r="U41" s="29">
        <v>-200000</v>
      </c>
      <c r="W41" s="29">
        <v>-200000</v>
      </c>
      <c r="Y41" s="29">
        <v>-200000</v>
      </c>
      <c r="AA41" s="29">
        <v>-1196202.0100000002</v>
      </c>
      <c r="AC41" s="29">
        <v>-1061201.56</v>
      </c>
      <c r="AE41" s="29">
        <v>-1061201.56</v>
      </c>
      <c r="AG41" s="29">
        <v>-478440.19</v>
      </c>
      <c r="AI41" s="29">
        <v>-1863500</v>
      </c>
      <c r="AK41" s="29">
        <v>-1863500</v>
      </c>
      <c r="AM41" s="29">
        <v>-1763500</v>
      </c>
      <c r="AO41" s="29">
        <v>-447500</v>
      </c>
      <c r="AQ41" s="29">
        <v>-300000</v>
      </c>
      <c r="AS41" s="29">
        <v>-300000</v>
      </c>
      <c r="AU41" s="29">
        <v>-300000</v>
      </c>
      <c r="AW41" s="29">
        <v>-100000</v>
      </c>
      <c r="AY41" s="29">
        <v>-2385000</v>
      </c>
      <c r="BA41" s="29">
        <v>-2185000</v>
      </c>
      <c r="BC41" s="29">
        <v>-1985000</v>
      </c>
      <c r="BE41" s="29">
        <v>-1200000</v>
      </c>
      <c r="BG41" s="29">
        <v>-7000000</v>
      </c>
      <c r="BI41" s="29">
        <v>-7000000</v>
      </c>
      <c r="BK41" s="29">
        <v>-7000000</v>
      </c>
      <c r="BM41" s="29">
        <v>-7000000</v>
      </c>
      <c r="BO41" s="29">
        <v>-7000000</v>
      </c>
      <c r="BQ41" s="29">
        <v>-7000000</v>
      </c>
      <c r="BS41" s="29">
        <v>-7000000</v>
      </c>
      <c r="BU41" s="29">
        <v>0</v>
      </c>
      <c r="BW41" s="29">
        <v>0</v>
      </c>
      <c r="BY41" s="29">
        <v>0</v>
      </c>
      <c r="CA41" s="29">
        <v>0</v>
      </c>
      <c r="CC41" s="29">
        <v>0</v>
      </c>
      <c r="CE41" s="29">
        <v>0</v>
      </c>
      <c r="CG41" s="29">
        <v>0</v>
      </c>
      <c r="CI41" s="29">
        <v>0</v>
      </c>
      <c r="CK41" s="29">
        <v>-125000</v>
      </c>
      <c r="CM41" s="29">
        <v>0</v>
      </c>
      <c r="CO41" s="29">
        <v>-127500</v>
      </c>
      <c r="CQ41" s="29">
        <v>-127500.00000000001</v>
      </c>
      <c r="CS41" s="29">
        <v>-95000</v>
      </c>
      <c r="CU41" s="29">
        <v>-54999.999999999971</v>
      </c>
      <c r="CW41" s="29">
        <v>-39999.999999999709</v>
      </c>
      <c r="CY41" s="29"/>
      <c r="DA41" s="29"/>
      <c r="DC41" s="29"/>
      <c r="DD41" s="5"/>
      <c r="DE41" s="29"/>
      <c r="DF41" s="5"/>
      <c r="DG41" s="29"/>
      <c r="DH41" s="5"/>
      <c r="DI41" s="29">
        <f t="shared" si="68"/>
        <v>0</v>
      </c>
      <c r="DJ41" s="5"/>
      <c r="DK41" s="29">
        <f t="shared" si="69"/>
        <v>0</v>
      </c>
      <c r="DL41" s="5"/>
      <c r="DM41" s="29">
        <f t="shared" si="69"/>
        <v>0</v>
      </c>
      <c r="DN41" s="5"/>
      <c r="DO41" s="29">
        <f t="shared" si="69"/>
        <v>0</v>
      </c>
      <c r="DP41" s="5"/>
      <c r="DQ41" s="29">
        <f t="shared" si="70"/>
        <v>0</v>
      </c>
      <c r="DR41" s="5"/>
      <c r="DS41" s="29">
        <f t="shared" si="71"/>
        <v>0</v>
      </c>
      <c r="DT41" s="5"/>
      <c r="DU41" s="29">
        <f t="shared" si="71"/>
        <v>0</v>
      </c>
      <c r="DV41" s="5"/>
      <c r="DW41" s="29">
        <f t="shared" si="71"/>
        <v>0</v>
      </c>
      <c r="DX41" s="5"/>
      <c r="DY41" s="29">
        <f t="shared" si="72"/>
        <v>-200000</v>
      </c>
      <c r="DZ41" s="5"/>
      <c r="EA41" s="29">
        <f t="shared" si="73"/>
        <v>-135000.45000000019</v>
      </c>
      <c r="EB41" s="5"/>
      <c r="EC41" s="29">
        <f t="shared" si="74"/>
        <v>0</v>
      </c>
      <c r="ED41" s="5"/>
      <c r="EE41" s="29">
        <f t="shared" si="75"/>
        <v>-582761.37000000011</v>
      </c>
      <c r="EF41" s="5"/>
      <c r="EG41" s="29">
        <f t="shared" si="76"/>
        <v>-478440.19</v>
      </c>
      <c r="EH41" s="5"/>
      <c r="EI41" s="29">
        <f t="shared" si="77"/>
        <v>0</v>
      </c>
      <c r="EJ41" s="5"/>
      <c r="EK41" s="29">
        <f t="shared" si="77"/>
        <v>-100000</v>
      </c>
      <c r="EL41" s="5"/>
      <c r="EM41" s="29">
        <f t="shared" si="77"/>
        <v>-1316000</v>
      </c>
      <c r="EN41" s="5"/>
      <c r="EO41" s="29">
        <f t="shared" si="78"/>
        <v>-447500</v>
      </c>
      <c r="EP41" s="5"/>
      <c r="EQ41" s="29">
        <f t="shared" si="79"/>
        <v>0</v>
      </c>
      <c r="ER41" s="5"/>
      <c r="ES41" s="29">
        <f t="shared" si="80"/>
        <v>0</v>
      </c>
      <c r="ET41" s="5"/>
      <c r="EU41" s="29">
        <f t="shared" si="81"/>
        <v>-200000</v>
      </c>
      <c r="EV41" s="5"/>
      <c r="EW41" s="29">
        <f t="shared" si="51"/>
        <v>-100000</v>
      </c>
      <c r="EX41" s="5"/>
      <c r="EY41" s="29">
        <f t="shared" si="82"/>
        <v>-200000</v>
      </c>
      <c r="EZ41" s="5"/>
      <c r="FA41" s="29">
        <f t="shared" si="82"/>
        <v>-200000</v>
      </c>
      <c r="FB41" s="5"/>
      <c r="FC41" s="29">
        <f t="shared" si="82"/>
        <v>-785000</v>
      </c>
      <c r="FD41" s="5"/>
      <c r="FE41" s="29">
        <f t="shared" si="53"/>
        <v>-1200000</v>
      </c>
      <c r="FF41" s="5"/>
      <c r="FG41" s="29">
        <v>0</v>
      </c>
      <c r="FH41" s="5"/>
      <c r="FI41" s="29">
        <f t="shared" si="83"/>
        <v>0</v>
      </c>
      <c r="FJ41" s="5"/>
      <c r="FK41" s="29">
        <f t="shared" si="84"/>
        <v>0</v>
      </c>
      <c r="FL41" s="5"/>
      <c r="FM41" s="29">
        <f t="shared" si="85"/>
        <v>0</v>
      </c>
      <c r="FN41" s="5"/>
      <c r="FO41" s="29">
        <f t="shared" si="86"/>
        <v>0</v>
      </c>
      <c r="FP41" s="5"/>
      <c r="FQ41" s="29">
        <f t="shared" si="87"/>
        <v>0</v>
      </c>
      <c r="FR41" s="5"/>
      <c r="FS41" s="29">
        <f t="shared" si="88"/>
        <v>-7000000</v>
      </c>
      <c r="FT41" s="5"/>
      <c r="FU41" s="29">
        <f t="shared" si="89"/>
        <v>0</v>
      </c>
      <c r="FV41" s="5"/>
      <c r="FW41" s="29">
        <f t="shared" si="89"/>
        <v>0</v>
      </c>
      <c r="FX41" s="5"/>
      <c r="FY41" s="29">
        <f t="shared" si="89"/>
        <v>0</v>
      </c>
      <c r="FZ41" s="5"/>
      <c r="GA41" s="29">
        <f t="shared" si="90"/>
        <v>0</v>
      </c>
      <c r="GB41" s="5"/>
      <c r="GC41" s="29">
        <f t="shared" si="91"/>
        <v>0</v>
      </c>
      <c r="GD41" s="5"/>
      <c r="GE41" s="29">
        <f t="shared" si="91"/>
        <v>0</v>
      </c>
      <c r="GF41" s="5"/>
      <c r="GG41" s="29">
        <f t="shared" si="91"/>
        <v>0</v>
      </c>
      <c r="GH41" s="5"/>
      <c r="GI41" s="29">
        <f t="shared" si="92"/>
        <v>0</v>
      </c>
      <c r="GJ41" s="5"/>
      <c r="GK41" s="29">
        <f t="shared" si="93"/>
        <v>-125000</v>
      </c>
      <c r="GL41" s="5"/>
      <c r="GM41" s="29">
        <f t="shared" si="93"/>
        <v>127500</v>
      </c>
      <c r="GN41" s="5"/>
      <c r="GO41" s="29">
        <f t="shared" si="94"/>
        <v>0</v>
      </c>
      <c r="GP41" s="5"/>
      <c r="GQ41" s="29">
        <f t="shared" si="95"/>
        <v>-127500.00000000001</v>
      </c>
      <c r="GR41" s="5"/>
      <c r="GS41" s="29">
        <f t="shared" si="96"/>
        <v>-40000.000000000029</v>
      </c>
      <c r="GT41" s="5"/>
      <c r="GU41" s="29">
        <f t="shared" si="96"/>
        <v>-15000.000000000262</v>
      </c>
    </row>
    <row r="42" spans="1:203">
      <c r="A42" s="96" t="s">
        <v>120</v>
      </c>
      <c r="C42" s="29"/>
      <c r="E42" s="29"/>
      <c r="G42" s="29"/>
      <c r="I42" s="29">
        <v>0</v>
      </c>
      <c r="K42" s="29">
        <v>-2021700</v>
      </c>
      <c r="M42" s="29">
        <v>-2021700.0000000002</v>
      </c>
      <c r="O42" s="29">
        <v>-2021700</v>
      </c>
      <c r="Q42" s="29">
        <v>0</v>
      </c>
      <c r="S42" s="29">
        <v>-1774500</v>
      </c>
      <c r="U42" s="29">
        <v>-1774500</v>
      </c>
      <c r="W42" s="29">
        <v>0</v>
      </c>
      <c r="Y42" s="29">
        <v>0</v>
      </c>
      <c r="AA42" s="29">
        <v>0</v>
      </c>
      <c r="AC42" s="29">
        <v>0</v>
      </c>
      <c r="AE42" s="29">
        <v>0</v>
      </c>
      <c r="AG42" s="29">
        <v>0</v>
      </c>
      <c r="AI42" s="29">
        <v>0</v>
      </c>
      <c r="AK42" s="29">
        <v>0</v>
      </c>
      <c r="AM42" s="29">
        <v>0</v>
      </c>
      <c r="AO42" s="29">
        <v>0</v>
      </c>
      <c r="AQ42" s="29">
        <v>0</v>
      </c>
      <c r="AS42" s="29">
        <v>0</v>
      </c>
      <c r="AU42" s="29">
        <v>0</v>
      </c>
      <c r="AW42" s="29">
        <v>0</v>
      </c>
      <c r="AY42" s="29">
        <v>0</v>
      </c>
      <c r="BA42" s="29">
        <v>0</v>
      </c>
      <c r="BC42" s="29">
        <v>0</v>
      </c>
      <c r="BE42" s="29">
        <v>0</v>
      </c>
      <c r="BG42" s="29">
        <v>0</v>
      </c>
      <c r="BI42" s="29">
        <v>0</v>
      </c>
      <c r="BK42" s="29">
        <v>0</v>
      </c>
      <c r="BM42" s="29">
        <v>0</v>
      </c>
      <c r="BO42" s="29">
        <v>0</v>
      </c>
      <c r="BQ42" s="29">
        <v>0</v>
      </c>
      <c r="BS42" s="29">
        <v>0</v>
      </c>
      <c r="BU42" s="29">
        <v>0</v>
      </c>
      <c r="BW42" s="29">
        <v>0</v>
      </c>
      <c r="BY42" s="29">
        <v>0</v>
      </c>
      <c r="CA42" s="29">
        <v>0</v>
      </c>
      <c r="CC42" s="29">
        <v>0</v>
      </c>
      <c r="CE42" s="29">
        <v>0</v>
      </c>
      <c r="CG42" s="29">
        <v>0</v>
      </c>
      <c r="CI42" s="29">
        <v>0</v>
      </c>
      <c r="CK42" s="29">
        <v>0</v>
      </c>
      <c r="CM42" s="29">
        <v>-149600</v>
      </c>
      <c r="CO42" s="29">
        <v>0</v>
      </c>
      <c r="CQ42" s="29">
        <v>0</v>
      </c>
      <c r="CS42" s="29">
        <v>0</v>
      </c>
      <c r="CU42" s="29">
        <v>0</v>
      </c>
      <c r="CW42" s="29">
        <v>0</v>
      </c>
      <c r="CY42" s="29"/>
      <c r="DA42" s="29"/>
      <c r="DC42" s="29"/>
      <c r="DD42" s="5"/>
      <c r="DE42" s="29"/>
      <c r="DF42" s="5"/>
      <c r="DG42" s="29"/>
      <c r="DH42" s="5"/>
      <c r="DI42" s="29">
        <f t="shared" si="68"/>
        <v>0</v>
      </c>
      <c r="DJ42" s="5"/>
      <c r="DK42" s="29">
        <f t="shared" si="69"/>
        <v>0</v>
      </c>
      <c r="DL42" s="5"/>
      <c r="DM42" s="29">
        <f t="shared" si="69"/>
        <v>0</v>
      </c>
      <c r="DN42" s="5"/>
      <c r="DO42" s="29">
        <f t="shared" si="69"/>
        <v>-2021700</v>
      </c>
      <c r="DP42" s="5"/>
      <c r="DQ42" s="29">
        <f t="shared" si="70"/>
        <v>0</v>
      </c>
      <c r="DR42" s="5"/>
      <c r="DS42" s="29">
        <f t="shared" si="71"/>
        <v>0</v>
      </c>
      <c r="DT42" s="5"/>
      <c r="DU42" s="29">
        <f t="shared" si="71"/>
        <v>-1774500</v>
      </c>
      <c r="DV42" s="5"/>
      <c r="DW42" s="29">
        <f t="shared" si="71"/>
        <v>0</v>
      </c>
      <c r="DX42" s="5"/>
      <c r="DY42" s="29">
        <f t="shared" si="72"/>
        <v>0</v>
      </c>
      <c r="DZ42" s="5"/>
      <c r="EA42" s="29">
        <f t="shared" si="73"/>
        <v>0</v>
      </c>
      <c r="EB42" s="5"/>
      <c r="EC42" s="29">
        <f t="shared" si="74"/>
        <v>0</v>
      </c>
      <c r="ED42" s="5"/>
      <c r="EE42" s="29">
        <f t="shared" si="75"/>
        <v>0</v>
      </c>
      <c r="EF42" s="5"/>
      <c r="EG42" s="29">
        <f t="shared" si="76"/>
        <v>0</v>
      </c>
      <c r="EH42" s="5"/>
      <c r="EI42" s="29">
        <f t="shared" si="77"/>
        <v>0</v>
      </c>
      <c r="EJ42" s="5"/>
      <c r="EK42" s="29">
        <f t="shared" si="77"/>
        <v>0</v>
      </c>
      <c r="EL42" s="5"/>
      <c r="EM42" s="29">
        <f t="shared" si="77"/>
        <v>0</v>
      </c>
      <c r="EN42" s="5"/>
      <c r="EO42" s="29">
        <f t="shared" si="78"/>
        <v>0</v>
      </c>
      <c r="EP42" s="5"/>
      <c r="EQ42" s="29">
        <f t="shared" si="79"/>
        <v>0</v>
      </c>
      <c r="ER42" s="5"/>
      <c r="ES42" s="29">
        <f t="shared" si="80"/>
        <v>0</v>
      </c>
      <c r="ET42" s="5"/>
      <c r="EU42" s="29">
        <f t="shared" si="81"/>
        <v>0</v>
      </c>
      <c r="EV42" s="5"/>
      <c r="EW42" s="29">
        <f t="shared" si="51"/>
        <v>0</v>
      </c>
      <c r="EX42" s="5"/>
      <c r="EY42" s="29">
        <f t="shared" si="82"/>
        <v>0</v>
      </c>
      <c r="EZ42" s="5"/>
      <c r="FA42" s="29">
        <f t="shared" si="82"/>
        <v>0</v>
      </c>
      <c r="FB42" s="5"/>
      <c r="FC42" s="29">
        <f t="shared" si="82"/>
        <v>0</v>
      </c>
      <c r="FD42" s="5"/>
      <c r="FE42" s="29">
        <f t="shared" si="53"/>
        <v>0</v>
      </c>
      <c r="FF42" s="5"/>
      <c r="FG42" s="29">
        <v>0</v>
      </c>
      <c r="FH42" s="5"/>
      <c r="FI42" s="29">
        <f t="shared" si="83"/>
        <v>0</v>
      </c>
      <c r="FJ42" s="5"/>
      <c r="FK42" s="29">
        <f t="shared" si="84"/>
        <v>0</v>
      </c>
      <c r="FL42" s="5"/>
      <c r="FM42" s="29">
        <f t="shared" si="85"/>
        <v>0</v>
      </c>
      <c r="FN42" s="5"/>
      <c r="FO42" s="29">
        <f t="shared" si="86"/>
        <v>0</v>
      </c>
      <c r="FP42" s="5"/>
      <c r="FQ42" s="29">
        <f t="shared" si="87"/>
        <v>0</v>
      </c>
      <c r="FR42" s="5"/>
      <c r="FS42" s="29">
        <f t="shared" si="88"/>
        <v>0</v>
      </c>
      <c r="FT42" s="5"/>
      <c r="FU42" s="29">
        <f t="shared" si="89"/>
        <v>0</v>
      </c>
      <c r="FV42" s="5"/>
      <c r="FW42" s="29">
        <f t="shared" si="89"/>
        <v>0</v>
      </c>
      <c r="FX42" s="5"/>
      <c r="FY42" s="29">
        <f t="shared" si="89"/>
        <v>0</v>
      </c>
      <c r="FZ42" s="5"/>
      <c r="GA42" s="29">
        <f t="shared" si="90"/>
        <v>0</v>
      </c>
      <c r="GB42" s="5"/>
      <c r="GC42" s="29">
        <f t="shared" si="91"/>
        <v>0</v>
      </c>
      <c r="GD42" s="5"/>
      <c r="GE42" s="29">
        <f t="shared" si="91"/>
        <v>0</v>
      </c>
      <c r="GF42" s="5"/>
      <c r="GG42" s="29">
        <f t="shared" si="91"/>
        <v>0</v>
      </c>
      <c r="GH42" s="5"/>
      <c r="GI42" s="29">
        <f t="shared" si="92"/>
        <v>0</v>
      </c>
      <c r="GJ42" s="5"/>
      <c r="GK42" s="29">
        <f t="shared" si="93"/>
        <v>149600</v>
      </c>
      <c r="GL42" s="5"/>
      <c r="GM42" s="29">
        <f t="shared" si="93"/>
        <v>-149600</v>
      </c>
      <c r="GN42" s="5"/>
      <c r="GO42" s="29">
        <f t="shared" si="94"/>
        <v>0</v>
      </c>
      <c r="GP42" s="5"/>
      <c r="GQ42" s="29">
        <f t="shared" si="95"/>
        <v>0</v>
      </c>
      <c r="GR42" s="5"/>
      <c r="GS42" s="29">
        <f t="shared" si="96"/>
        <v>0</v>
      </c>
      <c r="GT42" s="5"/>
      <c r="GU42" s="29">
        <f t="shared" si="96"/>
        <v>0</v>
      </c>
    </row>
    <row r="43" spans="1:203">
      <c r="A43" s="38" t="s">
        <v>121</v>
      </c>
      <c r="C43" s="29"/>
      <c r="E43" s="29"/>
      <c r="G43" s="29"/>
      <c r="I43" s="29">
        <v>0</v>
      </c>
      <c r="K43" s="29">
        <v>0</v>
      </c>
      <c r="M43" s="29">
        <v>0</v>
      </c>
      <c r="O43" s="29">
        <v>0</v>
      </c>
      <c r="Q43" s="29">
        <v>0</v>
      </c>
      <c r="S43" s="29">
        <v>0</v>
      </c>
      <c r="U43" s="29">
        <v>0</v>
      </c>
      <c r="W43" s="29">
        <v>0</v>
      </c>
      <c r="Y43" s="29">
        <v>0</v>
      </c>
      <c r="AA43" s="29">
        <v>0</v>
      </c>
      <c r="AC43" s="29">
        <v>0</v>
      </c>
      <c r="AE43" s="29">
        <v>0</v>
      </c>
      <c r="AG43" s="29">
        <v>0</v>
      </c>
      <c r="AI43" s="29">
        <v>0</v>
      </c>
      <c r="AK43" s="29">
        <v>0</v>
      </c>
      <c r="AM43" s="29">
        <v>0</v>
      </c>
      <c r="AO43" s="29">
        <v>0</v>
      </c>
      <c r="AQ43" s="29">
        <v>0</v>
      </c>
      <c r="AS43" s="29">
        <v>0</v>
      </c>
      <c r="AU43" s="29">
        <v>-337.27</v>
      </c>
      <c r="AW43" s="29">
        <v>0</v>
      </c>
      <c r="AY43" s="29">
        <v>0</v>
      </c>
      <c r="BA43" s="29">
        <v>0</v>
      </c>
      <c r="BC43" s="29">
        <v>0</v>
      </c>
      <c r="BE43" s="29">
        <v>0</v>
      </c>
      <c r="BG43" s="29">
        <v>-300000</v>
      </c>
      <c r="BI43" s="29"/>
      <c r="BK43" s="29"/>
      <c r="BM43" s="29">
        <v>0</v>
      </c>
      <c r="BO43" s="29">
        <v>0</v>
      </c>
      <c r="BQ43" s="29">
        <v>0</v>
      </c>
      <c r="BS43" s="29">
        <v>0</v>
      </c>
      <c r="BU43" s="29">
        <v>0</v>
      </c>
      <c r="BW43" s="29">
        <v>0</v>
      </c>
      <c r="BY43" s="29">
        <v>0</v>
      </c>
      <c r="CA43" s="29">
        <v>0</v>
      </c>
      <c r="CC43" s="29">
        <v>0</v>
      </c>
      <c r="CE43" s="29">
        <v>0</v>
      </c>
      <c r="CG43" s="29">
        <v>0</v>
      </c>
      <c r="CI43" s="29">
        <v>0</v>
      </c>
      <c r="CK43" s="29">
        <v>0</v>
      </c>
      <c r="CM43" s="29">
        <v>0</v>
      </c>
      <c r="CO43" s="29">
        <v>0</v>
      </c>
      <c r="CQ43" s="29">
        <v>0</v>
      </c>
      <c r="CS43" s="29">
        <v>0</v>
      </c>
      <c r="CU43" s="29">
        <v>0</v>
      </c>
      <c r="CW43" s="29">
        <v>0</v>
      </c>
      <c r="CY43" s="29"/>
      <c r="DA43" s="29"/>
      <c r="DC43" s="29"/>
      <c r="DD43" s="5"/>
      <c r="DE43" s="29"/>
      <c r="DF43" s="5"/>
      <c r="DG43" s="29"/>
      <c r="DH43" s="5"/>
      <c r="DI43" s="29">
        <f t="shared" si="68"/>
        <v>0</v>
      </c>
      <c r="DJ43" s="5"/>
      <c r="DK43" s="29">
        <f t="shared" si="69"/>
        <v>0</v>
      </c>
      <c r="DL43" s="5"/>
      <c r="DM43" s="29">
        <f t="shared" si="69"/>
        <v>0</v>
      </c>
      <c r="DN43" s="5"/>
      <c r="DO43" s="29">
        <f t="shared" si="69"/>
        <v>0</v>
      </c>
      <c r="DP43" s="5"/>
      <c r="DQ43" s="29">
        <f t="shared" si="70"/>
        <v>0</v>
      </c>
      <c r="DR43" s="5"/>
      <c r="DS43" s="29">
        <f t="shared" si="71"/>
        <v>0</v>
      </c>
      <c r="DT43" s="5"/>
      <c r="DU43" s="29">
        <f t="shared" si="71"/>
        <v>0</v>
      </c>
      <c r="DV43" s="5"/>
      <c r="DW43" s="29">
        <f t="shared" si="71"/>
        <v>0</v>
      </c>
      <c r="DX43" s="5"/>
      <c r="DY43" s="29">
        <f t="shared" si="72"/>
        <v>0</v>
      </c>
      <c r="DZ43" s="5"/>
      <c r="EA43" s="29">
        <f t="shared" si="73"/>
        <v>0</v>
      </c>
      <c r="EB43" s="5"/>
      <c r="EC43" s="29">
        <f t="shared" si="74"/>
        <v>0</v>
      </c>
      <c r="ED43" s="5"/>
      <c r="EE43" s="29">
        <f t="shared" si="75"/>
        <v>0</v>
      </c>
      <c r="EF43" s="5"/>
      <c r="EG43" s="29">
        <f t="shared" si="76"/>
        <v>0</v>
      </c>
      <c r="EH43" s="5"/>
      <c r="EI43" s="29">
        <f t="shared" si="77"/>
        <v>0</v>
      </c>
      <c r="EJ43" s="5"/>
      <c r="EK43" s="29">
        <f t="shared" si="77"/>
        <v>0</v>
      </c>
      <c r="EL43" s="5"/>
      <c r="EM43" s="29">
        <f t="shared" si="77"/>
        <v>0</v>
      </c>
      <c r="EN43" s="5"/>
      <c r="EO43" s="29">
        <f t="shared" si="78"/>
        <v>0</v>
      </c>
      <c r="EP43" s="5"/>
      <c r="EQ43" s="29">
        <f t="shared" si="79"/>
        <v>0</v>
      </c>
      <c r="ER43" s="5"/>
      <c r="ES43" s="29">
        <f t="shared" si="80"/>
        <v>337.27</v>
      </c>
      <c r="ET43" s="5"/>
      <c r="EU43" s="29">
        <f t="shared" si="81"/>
        <v>-337.27</v>
      </c>
      <c r="EV43" s="5"/>
      <c r="EW43" s="29">
        <f t="shared" si="51"/>
        <v>0</v>
      </c>
      <c r="EX43" s="5"/>
      <c r="EY43" s="29">
        <f t="shared" si="82"/>
        <v>0</v>
      </c>
      <c r="EZ43" s="5"/>
      <c r="FA43" s="29">
        <f t="shared" si="82"/>
        <v>0</v>
      </c>
      <c r="FB43" s="5"/>
      <c r="FC43" s="29">
        <f t="shared" si="82"/>
        <v>0</v>
      </c>
      <c r="FD43" s="5"/>
      <c r="FE43" s="29">
        <f t="shared" si="53"/>
        <v>0</v>
      </c>
      <c r="FF43" s="5"/>
      <c r="FG43" s="29">
        <v>-300000</v>
      </c>
      <c r="FH43" s="5"/>
      <c r="FI43" s="29">
        <f t="shared" si="83"/>
        <v>0</v>
      </c>
      <c r="FJ43" s="5"/>
      <c r="FK43" s="29">
        <f t="shared" si="84"/>
        <v>0</v>
      </c>
      <c r="FL43" s="5"/>
      <c r="FM43" s="29">
        <f t="shared" si="85"/>
        <v>0</v>
      </c>
      <c r="FN43" s="5"/>
      <c r="FO43" s="29">
        <f t="shared" si="86"/>
        <v>0</v>
      </c>
      <c r="FP43" s="5"/>
      <c r="FQ43" s="29">
        <f t="shared" si="87"/>
        <v>0</v>
      </c>
      <c r="FR43" s="5"/>
      <c r="FS43" s="29">
        <f t="shared" si="88"/>
        <v>0</v>
      </c>
      <c r="FT43" s="5"/>
      <c r="FU43" s="29">
        <f t="shared" si="89"/>
        <v>0</v>
      </c>
      <c r="FV43" s="5"/>
      <c r="FW43" s="29">
        <f t="shared" si="89"/>
        <v>0</v>
      </c>
      <c r="FX43" s="5"/>
      <c r="FY43" s="29">
        <f t="shared" si="89"/>
        <v>0</v>
      </c>
      <c r="FZ43" s="5"/>
      <c r="GA43" s="29">
        <f t="shared" si="90"/>
        <v>0</v>
      </c>
      <c r="GB43" s="5"/>
      <c r="GC43" s="29">
        <f t="shared" si="91"/>
        <v>0</v>
      </c>
      <c r="GD43" s="5"/>
      <c r="GE43" s="29">
        <f t="shared" si="91"/>
        <v>0</v>
      </c>
      <c r="GF43" s="5"/>
      <c r="GG43" s="29">
        <f t="shared" si="91"/>
        <v>0</v>
      </c>
      <c r="GH43" s="5"/>
      <c r="GI43" s="29">
        <f t="shared" si="92"/>
        <v>0</v>
      </c>
      <c r="GJ43" s="5"/>
      <c r="GK43" s="29">
        <f t="shared" si="93"/>
        <v>0</v>
      </c>
      <c r="GL43" s="5"/>
      <c r="GM43" s="29">
        <f t="shared" si="93"/>
        <v>0</v>
      </c>
      <c r="GN43" s="5"/>
      <c r="GO43" s="29">
        <f t="shared" si="94"/>
        <v>0</v>
      </c>
      <c r="GP43" s="5"/>
      <c r="GQ43" s="29">
        <f t="shared" si="95"/>
        <v>0</v>
      </c>
      <c r="GR43" s="5"/>
      <c r="GS43" s="29">
        <f t="shared" si="96"/>
        <v>0</v>
      </c>
      <c r="GT43" s="5"/>
      <c r="GU43" s="29">
        <f t="shared" si="96"/>
        <v>0</v>
      </c>
    </row>
    <row r="44" spans="1:203" s="39" customFormat="1" ht="13">
      <c r="A44" s="37" t="s">
        <v>122</v>
      </c>
      <c r="B44" s="105"/>
      <c r="C44" s="104"/>
      <c r="D44" s="105"/>
      <c r="E44" s="104"/>
      <c r="F44" s="105"/>
      <c r="G44" s="104"/>
      <c r="H44" s="105"/>
      <c r="I44" s="104">
        <f>SUM(I26:I28,I35,I34,I37:I39,I43)</f>
        <v>-3895124.0500000236</v>
      </c>
      <c r="J44" s="105"/>
      <c r="K44" s="104">
        <f>SUM(K26:K28,K35,K34,K37:K39,K43)</f>
        <v>3688314.5642000735</v>
      </c>
      <c r="L44" s="105"/>
      <c r="M44" s="104">
        <f>SUM(M26:M28,M35,M34,M37:M39,M43)</f>
        <v>11229506.034199998</v>
      </c>
      <c r="N44" s="105"/>
      <c r="O44" s="104">
        <f>SUM(O26:O28,O35,O34,O37:O39,O43)</f>
        <v>15546243.344199993</v>
      </c>
      <c r="P44" s="105"/>
      <c r="Q44" s="104">
        <f>SUM(Q26:Q28,Q35,Q34,Q37:Q39,Q43)</f>
        <v>-8226964.2958000042</v>
      </c>
      <c r="R44" s="105"/>
      <c r="S44" s="104">
        <f>SUM(S26:S28,S35,S34,S37:S39,S43)</f>
        <v>-2670258.7042000443</v>
      </c>
      <c r="T44" s="105"/>
      <c r="U44" s="104">
        <f>SUM(U26:U28,U35,U34,U37:U39,U43)</f>
        <v>-1409912.1700000798</v>
      </c>
      <c r="V44" s="105"/>
      <c r="W44" s="104">
        <f>SUM(W26:W28,W35,W34,W37:W39,W43)</f>
        <v>-1147516.0200000042</v>
      </c>
      <c r="X44" s="105"/>
      <c r="Y44" s="104">
        <f>SUM(Y26:Y28,Y35,Y34,Y37:Y39,Y43)</f>
        <v>-1056786.0600000096</v>
      </c>
      <c r="Z44" s="105"/>
      <c r="AA44" s="104">
        <f>SUM(AA26:AA28,AA35,AA34,AA37:AA39,AA43)</f>
        <v>-1488905.1700000172</v>
      </c>
      <c r="AB44" s="105"/>
      <c r="AC44" s="104">
        <f>SUM(AC26:AC28,AC35,AC34,AC37:AC39,AC43)</f>
        <v>-1303905.6800000002</v>
      </c>
      <c r="AD44" s="105"/>
      <c r="AE44" s="104">
        <f>SUM(AE26:AE28,AE35,AE34,AE37:AE39,AE43)</f>
        <v>-791955.85999999987</v>
      </c>
      <c r="AF44" s="105"/>
      <c r="AG44" s="104">
        <f>SUM(AG26:AG28,AG35,AG34,AG37:AG39,AG43)</f>
        <v>-4833757.959999999</v>
      </c>
      <c r="AH44" s="105"/>
      <c r="AI44" s="104">
        <f>SUM(AI26:AI28,AI35,AI34,AI37:AI39,AI43)</f>
        <v>-2300617.3899999987</v>
      </c>
      <c r="AJ44" s="105"/>
      <c r="AK44" s="104">
        <f>SUM(AK26:AK28,AK35,AK34,AK37:AK39,AK43)</f>
        <v>-1308087.0599999998</v>
      </c>
      <c r="AL44" s="105"/>
      <c r="AM44" s="104">
        <f>SUM(AM26:AM28,AM35,AM34,AM37:AM39,AM43)</f>
        <v>-701109.65000000037</v>
      </c>
      <c r="AN44" s="105"/>
      <c r="AO44" s="104">
        <f>SUM(AO26:AO28,AO35,AO34,AO37:AO39,AO43)</f>
        <v>761708.62000000011</v>
      </c>
      <c r="AP44" s="105"/>
      <c r="AQ44" s="104">
        <f>SUM(AQ26:AQ28,AQ35,AQ34,AQ37:AQ39,AQ43)</f>
        <v>-2374579.2899999991</v>
      </c>
      <c r="AR44" s="105"/>
      <c r="AS44" s="104">
        <f>SUM(AS26:AS28,AS35,AS34,AS37:AS39,AS43)</f>
        <v>-2107876.4479999999</v>
      </c>
      <c r="AT44" s="105"/>
      <c r="AU44" s="104">
        <f>SUM(AU26:AU28,AU35,AU34,AU37:AU39,AU43)</f>
        <v>-1593720.5499999998</v>
      </c>
      <c r="AV44" s="105"/>
      <c r="AW44" s="104">
        <f>SUM(AW26:AW28,AW35,AW34,AW37:AW39,AW43)</f>
        <v>-671432.30000000016</v>
      </c>
      <c r="AX44" s="105"/>
      <c r="AY44" s="104">
        <f>SUM(AY26:AY28,AY35,AY34,AY37:AY39,AY43)</f>
        <v>-3302638.01</v>
      </c>
      <c r="AZ44" s="105"/>
      <c r="BA44" s="104">
        <f>SUM(BA26:BA28,BA35,BA34,BA37:BA39,BA43)</f>
        <v>-3186935.1299999994</v>
      </c>
      <c r="BB44" s="105"/>
      <c r="BC44" s="104">
        <f>SUM(BC26:BC28,BC35,BC34,BC37:BC39,BC43)</f>
        <v>-2719013.01</v>
      </c>
      <c r="BD44" s="105"/>
      <c r="BE44" s="104">
        <f>SUM(BE26:BE28,BE35,BE34,BE37:BE39,BE43)</f>
        <v>-1607915.55</v>
      </c>
      <c r="BF44" s="105"/>
      <c r="BG44" s="104">
        <f>SUM(BG26:BG28,BG35,BG34,BG37:BG39,BG43)</f>
        <v>-287156.18999999482</v>
      </c>
      <c r="BH44" s="105"/>
      <c r="BI44" s="104">
        <f>SUM(BI26:BI28,BI35,BI34,BI37:BI39,BI43)</f>
        <v>-910935.30999999773</v>
      </c>
      <c r="BJ44" s="105"/>
      <c r="BK44" s="104">
        <f>SUM(BK26:BK28,BK35,BK34,BK37:BK39,BK43)</f>
        <v>84101.110000000335</v>
      </c>
      <c r="BL44" s="105"/>
      <c r="BM44" s="104">
        <f>SUM(BM26:BM28,BM35,BM34,BM37:BM39,BM43)</f>
        <v>1788668.33</v>
      </c>
      <c r="BN44" s="105"/>
      <c r="BO44" s="104">
        <f>SUM(BO26:BO28,BO35,BO34,BO37:BO39,BO43)</f>
        <v>2078284.0200000014</v>
      </c>
      <c r="BP44" s="105"/>
      <c r="BQ44" s="104">
        <f>SUM(BQ26:BQ28,BQ35,BQ34,BQ37:BQ39,BQ43)</f>
        <v>-3286709.58</v>
      </c>
      <c r="BR44" s="105"/>
      <c r="BS44" s="104">
        <f>SUM(BS26:BS28,BS35,BS34,BS37:BS39,BS43)</f>
        <v>-1717436.6399999997</v>
      </c>
      <c r="BT44" s="105"/>
      <c r="BU44" s="104">
        <f>SUM(BU26:BU28,BU35,BU34,BU37:BU39,BU43)</f>
        <v>198931.02000000048</v>
      </c>
      <c r="BV44" s="105"/>
      <c r="BW44" s="104">
        <f>SUM(BW26:BW28,BW35,BW34,BW37:BW39,BW43)</f>
        <v>2167232.4099999992</v>
      </c>
      <c r="BX44" s="105"/>
      <c r="BY44" s="104">
        <f>SUM(BY26:BY28,BY35,BY34,BY37:BY39,BY43)</f>
        <v>2541796.9899999993</v>
      </c>
      <c r="BZ44" s="105"/>
      <c r="CA44" s="104">
        <f>SUM(CA26:CA28,CA35,CA34,CA37:CA39,CA43)</f>
        <v>2912172.8599999994</v>
      </c>
      <c r="CB44" s="105"/>
      <c r="CC44" s="104">
        <f>SUM(CC26:CC28,CC35,CC37:CC39,CC43)</f>
        <v>-11645100.020000003</v>
      </c>
      <c r="CD44" s="105"/>
      <c r="CE44" s="104">
        <f>SUM(CE26:CE28,CE35,CE37:CE39,CE43)</f>
        <v>-9109836.6500000004</v>
      </c>
      <c r="CF44" s="105"/>
      <c r="CG44" s="104">
        <f>SUM(CG26:CG28,CG35,CG37:CG39,CG43)</f>
        <v>-6421947.9780000001</v>
      </c>
      <c r="CH44" s="105"/>
      <c r="CI44" s="104">
        <f>SUM(CI26:CI28,CI35,CI37:CI39,CI43)</f>
        <v>-3792456.8</v>
      </c>
      <c r="CJ44" s="105"/>
      <c r="CK44" s="104">
        <f>SUM(CK26:CK28,CK35,CK37:CK39,CK43)</f>
        <v>-15005443.940622745</v>
      </c>
      <c r="CL44" s="105"/>
      <c r="CM44" s="104">
        <f>SUM(CM26:CM28,CM35,CM37:CM39,CM43)</f>
        <v>-8985206.0700000003</v>
      </c>
      <c r="CN44" s="105"/>
      <c r="CO44" s="104">
        <f>SUM(CO26:CO28,CO35,CO37:CO39,CO43)</f>
        <v>-8277302.3200000068</v>
      </c>
      <c r="CP44" s="105"/>
      <c r="CQ44" s="104">
        <f>SUM(CQ26:CQ28,CQ35,CQ37:CQ39,CQ43)</f>
        <v>-6926370.6500000013</v>
      </c>
      <c r="CR44" s="105"/>
      <c r="CS44" s="104">
        <f>SUM(CS26:CS28,CS35,CS37:CS39,CS43)</f>
        <v>-18674660.995214853</v>
      </c>
      <c r="CT44" s="105"/>
      <c r="CU44" s="104">
        <f>SUM(CU26:CU28,CU35,CU37:CU39,CU43)</f>
        <v>-6707015.7300000004</v>
      </c>
      <c r="CV44" s="105"/>
      <c r="CW44" s="104">
        <f>SUM(CW26:CW28,CW35,CW37:CW39,CW43)</f>
        <v>-5826405.0899999989</v>
      </c>
      <c r="CX44" s="105"/>
      <c r="CY44" s="104"/>
      <c r="CZ44" s="105"/>
      <c r="DA44" s="104"/>
      <c r="DB44" s="94"/>
      <c r="DC44" s="104"/>
      <c r="DD44" s="105"/>
      <c r="DE44" s="104"/>
      <c r="DF44" s="105"/>
      <c r="DG44" s="104"/>
      <c r="DH44" s="105"/>
      <c r="DI44" s="104">
        <f>SUM(DI26:DI28,DI35,DI34,DI37:DI39,DI43)</f>
        <v>-3895124.0500000236</v>
      </c>
      <c r="DJ44" s="105"/>
      <c r="DK44" s="104">
        <f>SUM(DK26:DK28,DK35,DK34,DK37:DK39,DK43)</f>
        <v>-7541191.469999928</v>
      </c>
      <c r="DL44" s="105"/>
      <c r="DM44" s="104">
        <f>SUM(DM26:DM28,DM35,DM34,DM37:DM39,DM43)</f>
        <v>-4316737.3099999968</v>
      </c>
      <c r="DN44" s="105"/>
      <c r="DO44" s="104">
        <f>SUM(DO26:DO28,DO35,DO34,DO37:DO39,DO43)</f>
        <v>23773207.640000001</v>
      </c>
      <c r="DP44" s="105"/>
      <c r="DQ44" s="104">
        <f>SUM(DQ26:DQ28,DQ35,DQ34,DQ37:DQ39,DQ43)</f>
        <v>-8226964.2958000042</v>
      </c>
      <c r="DR44" s="105"/>
      <c r="DS44" s="104">
        <f>SUM(DS26:DS28,DS35,DS34,DS37:DS39,DS43)</f>
        <v>-1260346.5341999645</v>
      </c>
      <c r="DT44" s="105"/>
      <c r="DU44" s="104">
        <f>SUM(DU26:DU28,DU35,DU34,DU37:DU39,DU43)</f>
        <v>-262396.15000007558</v>
      </c>
      <c r="DV44" s="105"/>
      <c r="DW44" s="104">
        <f>SUM(DW26:DW28,DW35,DW34,DW37:DW39,DW43)</f>
        <v>-90729.959999994608</v>
      </c>
      <c r="DX44" s="105"/>
      <c r="DY44" s="104">
        <f>SUM(DY26:DY28,DY35,DY34,DY37:DY39,DY43)</f>
        <v>-1056786.0600000096</v>
      </c>
      <c r="DZ44" s="105"/>
      <c r="EA44" s="104">
        <f>SUM(EA26:EA28,EA35,EA34,EA37:EA39,EA43)</f>
        <v>-184999.49000001687</v>
      </c>
      <c r="EB44" s="105"/>
      <c r="EC44" s="104">
        <f>SUM(EC26:EC28,EC35,EC34,EC37:EC39,EC43)</f>
        <v>-511949.82000000065</v>
      </c>
      <c r="ED44" s="105"/>
      <c r="EE44" s="104">
        <f>SUM(EE26:EE28,EE35,EE34,EE37:EE39,EE43)</f>
        <v>4041802.0999999987</v>
      </c>
      <c r="EF44" s="105"/>
      <c r="EG44" s="104">
        <f>SUM(EG26:EG28,EG35,EG34,EG37:EG39,EG43)</f>
        <v>-4833757.959999999</v>
      </c>
      <c r="EH44" s="105"/>
      <c r="EI44" s="104">
        <f>SUM(EI26:EI28,EI35,EI34,EI37:EI39,EI43)</f>
        <v>-992530.32999999914</v>
      </c>
      <c r="EJ44" s="105"/>
      <c r="EK44" s="104">
        <f>SUM(EK26:EK28,EK35,EK34,EK37:EK39,EK43)</f>
        <v>-606977.40999999968</v>
      </c>
      <c r="EL44" s="105"/>
      <c r="EM44" s="104">
        <f>SUM(EM26:EM28,EM35,EM34,EM37:EM39,EM43)</f>
        <v>-1462818.2700000005</v>
      </c>
      <c r="EN44" s="105"/>
      <c r="EO44" s="104">
        <f>SUM(EO26:EO28,EO35,EO34,EO37:EO39,EO43)</f>
        <v>761708.62000000011</v>
      </c>
      <c r="EP44" s="105"/>
      <c r="EQ44" s="104">
        <f t="shared" si="79"/>
        <v>-266702.84199999925</v>
      </c>
      <c r="ER44" s="105"/>
      <c r="ES44" s="104">
        <f t="shared" si="80"/>
        <v>-514155.89800000004</v>
      </c>
      <c r="ET44" s="105"/>
      <c r="EU44" s="104">
        <f t="shared" si="81"/>
        <v>-922288.24999999965</v>
      </c>
      <c r="EV44" s="105"/>
      <c r="EW44" s="104">
        <f t="shared" si="51"/>
        <v>-671432.30000000016</v>
      </c>
      <c r="EX44" s="105"/>
      <c r="EY44" s="104">
        <f t="shared" si="82"/>
        <v>-115702.88000000035</v>
      </c>
      <c r="EZ44" s="105"/>
      <c r="FA44" s="104">
        <f t="shared" si="82"/>
        <v>-467922.11999999965</v>
      </c>
      <c r="FB44" s="105"/>
      <c r="FC44" s="104">
        <f t="shared" si="82"/>
        <v>-1111097.4599999997</v>
      </c>
      <c r="FD44" s="105"/>
      <c r="FE44" s="104">
        <f t="shared" si="53"/>
        <v>-1607915.55</v>
      </c>
      <c r="FF44" s="105"/>
      <c r="FG44" s="104">
        <f>SUM(FG26:FG28,FG35,FG34,FG37:FG39,FG43)</f>
        <v>-1248126.1199999964</v>
      </c>
      <c r="FH44" s="105"/>
      <c r="FI44" s="104">
        <f t="shared" si="83"/>
        <v>-995036.41999999806</v>
      </c>
      <c r="FJ44" s="105"/>
      <c r="FK44" s="104">
        <f t="shared" si="84"/>
        <v>-1704567.2199999997</v>
      </c>
      <c r="FL44" s="105"/>
      <c r="FM44" s="104">
        <f t="shared" si="85"/>
        <v>-289615.69000000134</v>
      </c>
      <c r="FN44" s="105"/>
      <c r="FO44" s="104">
        <f t="shared" si="86"/>
        <v>5364993.6000000015</v>
      </c>
      <c r="FP44" s="105"/>
      <c r="FQ44" s="104">
        <f t="shared" si="87"/>
        <v>-1569272.9400000004</v>
      </c>
      <c r="FR44" s="105"/>
      <c r="FS44" s="104">
        <f t="shared" si="88"/>
        <v>-1717436.6399999997</v>
      </c>
      <c r="FT44" s="105"/>
      <c r="FU44" s="104">
        <f t="shared" si="89"/>
        <v>-1968301.3899999987</v>
      </c>
      <c r="FV44" s="105"/>
      <c r="FW44" s="104">
        <f t="shared" si="89"/>
        <v>-374564.58000000007</v>
      </c>
      <c r="FX44" s="105"/>
      <c r="FY44" s="104">
        <f t="shared" si="89"/>
        <v>-370375.87000000011</v>
      </c>
      <c r="FZ44" s="105"/>
      <c r="GA44" s="104">
        <f t="shared" si="90"/>
        <v>2912172.8599999994</v>
      </c>
      <c r="GB44" s="105"/>
      <c r="GC44" s="104">
        <f t="shared" si="91"/>
        <v>-2535263.3700000029</v>
      </c>
      <c r="GD44" s="105"/>
      <c r="GE44" s="104">
        <f t="shared" si="91"/>
        <v>-2687888.6720000003</v>
      </c>
      <c r="GF44" s="105"/>
      <c r="GG44" s="104">
        <f t="shared" si="91"/>
        <v>-2629491.1780000003</v>
      </c>
      <c r="GH44" s="105"/>
      <c r="GI44" s="104">
        <f t="shared" si="92"/>
        <v>-3792456.8</v>
      </c>
      <c r="GJ44" s="105"/>
      <c r="GK44" s="104">
        <f t="shared" si="93"/>
        <v>-6020237.8706227448</v>
      </c>
      <c r="GL44" s="105"/>
      <c r="GM44" s="104">
        <f t="shared" si="93"/>
        <v>-707903.74999999348</v>
      </c>
      <c r="GN44" s="105"/>
      <c r="GO44" s="104">
        <f t="shared" si="94"/>
        <v>-1350931.6700000055</v>
      </c>
      <c r="GP44" s="105"/>
      <c r="GQ44" s="104">
        <f t="shared" si="95"/>
        <v>-6926370.6500000013</v>
      </c>
      <c r="GR44" s="105"/>
      <c r="GS44" s="104">
        <f t="shared" si="96"/>
        <v>-11967645.265214853</v>
      </c>
      <c r="GT44" s="105"/>
      <c r="GU44" s="104">
        <f t="shared" si="96"/>
        <v>-880610.64000000153</v>
      </c>
    </row>
    <row r="45" spans="1:203">
      <c r="A45" s="38"/>
    </row>
    <row r="46" spans="1:203" ht="13">
      <c r="A46" s="106" t="s">
        <v>123</v>
      </c>
    </row>
    <row r="47" spans="1:203">
      <c r="A47" s="95" t="s">
        <v>104</v>
      </c>
    </row>
    <row r="48" spans="1:203">
      <c r="A48" s="38" t="s">
        <v>124</v>
      </c>
      <c r="C48" s="29"/>
      <c r="E48" s="29"/>
      <c r="G48" s="29"/>
      <c r="I48" s="29">
        <v>0</v>
      </c>
      <c r="K48" s="29">
        <v>0</v>
      </c>
      <c r="M48" s="29">
        <v>0</v>
      </c>
      <c r="O48" s="29">
        <v>0</v>
      </c>
      <c r="Q48" s="29">
        <v>0</v>
      </c>
      <c r="S48" s="29">
        <v>0</v>
      </c>
      <c r="U48" s="29">
        <v>0</v>
      </c>
      <c r="W48" s="29">
        <v>0</v>
      </c>
      <c r="Y48" s="29">
        <v>0</v>
      </c>
      <c r="AA48" s="29">
        <v>0</v>
      </c>
      <c r="AC48" s="29">
        <v>0</v>
      </c>
      <c r="AE48" s="29">
        <v>0</v>
      </c>
      <c r="AG48" s="29">
        <v>0</v>
      </c>
      <c r="AI48" s="29">
        <v>0</v>
      </c>
      <c r="AK48" s="29">
        <v>0</v>
      </c>
      <c r="AM48" s="29">
        <v>0</v>
      </c>
      <c r="AO48" s="29">
        <v>0</v>
      </c>
      <c r="AQ48" s="29">
        <v>0</v>
      </c>
      <c r="AS48" s="29">
        <v>0</v>
      </c>
      <c r="AU48" s="29">
        <v>0</v>
      </c>
      <c r="AW48" s="29">
        <v>0</v>
      </c>
      <c r="AY48" s="29">
        <v>0</v>
      </c>
      <c r="BA48" s="29">
        <v>0</v>
      </c>
      <c r="BC48" s="29">
        <v>0</v>
      </c>
      <c r="BE48" s="29">
        <v>0</v>
      </c>
      <c r="BG48" s="29">
        <v>0</v>
      </c>
      <c r="BI48" s="29">
        <v>0</v>
      </c>
      <c r="BK48" s="29">
        <v>0</v>
      </c>
      <c r="BM48" s="29">
        <v>0</v>
      </c>
      <c r="BO48" s="29">
        <v>0</v>
      </c>
      <c r="BQ48" s="29">
        <v>0</v>
      </c>
      <c r="BS48" s="29">
        <v>0</v>
      </c>
      <c r="BU48" s="29">
        <v>0</v>
      </c>
      <c r="BW48" s="29">
        <v>0</v>
      </c>
      <c r="BY48" s="29">
        <v>0</v>
      </c>
      <c r="CA48" s="29">
        <v>0</v>
      </c>
      <c r="CC48" s="29">
        <v>0</v>
      </c>
      <c r="CE48" s="29">
        <v>0</v>
      </c>
      <c r="CG48" s="29">
        <v>0</v>
      </c>
      <c r="CI48" s="29">
        <v>0</v>
      </c>
      <c r="CK48" s="29">
        <v>0</v>
      </c>
      <c r="CM48" s="29">
        <v>-46127.999999993364</v>
      </c>
      <c r="CO48" s="29">
        <v>-1.1641532182693481E-10</v>
      </c>
      <c r="CQ48" s="29">
        <v>4.3073669075965881E-9</v>
      </c>
      <c r="CS48" s="29">
        <v>30014112.690000001</v>
      </c>
      <c r="CU48" s="29">
        <v>123038.60236349101</v>
      </c>
      <c r="CW48" s="29">
        <v>-1.457442620449001E-3</v>
      </c>
      <c r="CY48" s="29"/>
      <c r="DA48" s="29"/>
      <c r="DC48" s="29"/>
      <c r="DD48" s="5"/>
      <c r="DE48" s="29"/>
      <c r="DF48" s="5"/>
      <c r="DG48" s="29"/>
      <c r="DH48" s="5"/>
      <c r="DI48" s="29">
        <f t="shared" ref="DI48:DI52" si="97">I48</f>
        <v>0</v>
      </c>
      <c r="DJ48" s="5"/>
      <c r="DK48" s="29">
        <f t="shared" ref="DK48:DO52" si="98">K48-M48</f>
        <v>0</v>
      </c>
      <c r="DL48" s="5"/>
      <c r="DM48" s="29">
        <f t="shared" si="98"/>
        <v>0</v>
      </c>
      <c r="DN48" s="5"/>
      <c r="DO48" s="29">
        <f t="shared" si="98"/>
        <v>0</v>
      </c>
      <c r="DP48" s="5"/>
      <c r="DQ48" s="29">
        <f t="shared" ref="DQ48:DQ52" si="99">Q48</f>
        <v>0</v>
      </c>
      <c r="DR48" s="5"/>
      <c r="DS48" s="29">
        <f t="shared" ref="DS48:DW52" si="100">S48-U48</f>
        <v>0</v>
      </c>
      <c r="DT48" s="5"/>
      <c r="DU48" s="29">
        <f t="shared" si="100"/>
        <v>0</v>
      </c>
      <c r="DV48" s="5"/>
      <c r="DW48" s="29">
        <f t="shared" si="100"/>
        <v>0</v>
      </c>
      <c r="DX48" s="5"/>
      <c r="DY48" s="29">
        <f>Y48</f>
        <v>0</v>
      </c>
      <c r="DZ48" s="5"/>
      <c r="EA48" s="29">
        <f t="shared" ref="EA48:EA52" si="101">AA48-AC48</f>
        <v>0</v>
      </c>
      <c r="EB48" s="5"/>
      <c r="EC48" s="29">
        <f t="shared" ref="EC48:EC52" si="102">AC48-AE48</f>
        <v>0</v>
      </c>
      <c r="ED48" s="5"/>
      <c r="EE48" s="29">
        <f t="shared" ref="EE48:EE52" si="103">AE48-AG48</f>
        <v>0</v>
      </c>
      <c r="EF48" s="5"/>
      <c r="EG48" s="29">
        <f t="shared" ref="EG48:EG52" si="104">AG48</f>
        <v>0</v>
      </c>
      <c r="EH48" s="5"/>
      <c r="EI48" s="29">
        <f t="shared" ref="EI48:EM52" si="105">AI48-AK48</f>
        <v>0</v>
      </c>
      <c r="EJ48" s="5"/>
      <c r="EK48" s="29">
        <f t="shared" si="105"/>
        <v>0</v>
      </c>
      <c r="EL48" s="5"/>
      <c r="EM48" s="29">
        <f t="shared" si="105"/>
        <v>0</v>
      </c>
      <c r="EN48" s="5"/>
      <c r="EO48" s="29">
        <f t="shared" ref="EO48:EO52" si="106">AO48</f>
        <v>0</v>
      </c>
      <c r="EP48" s="5"/>
      <c r="EQ48" s="29">
        <f t="shared" ref="EQ48:EQ60" si="107">AQ48-AS48</f>
        <v>0</v>
      </c>
      <c r="ER48" s="5"/>
      <c r="ES48" s="29">
        <f t="shared" ref="ES48:ES61" si="108">AS48-AU48</f>
        <v>0</v>
      </c>
      <c r="ET48" s="5"/>
      <c r="EU48" s="29">
        <f t="shared" ref="EU48:EU61" si="109">AU48-AW48</f>
        <v>0</v>
      </c>
      <c r="EV48" s="5"/>
      <c r="EW48" s="29">
        <f t="shared" ref="EW48:EW52" si="110">AW48</f>
        <v>0</v>
      </c>
      <c r="EX48" s="5"/>
      <c r="EY48" s="29">
        <f t="shared" ref="EY48:FC61" si="111">AY48-BA48</f>
        <v>0</v>
      </c>
      <c r="EZ48" s="5"/>
      <c r="FA48" s="29">
        <f t="shared" si="111"/>
        <v>0</v>
      </c>
      <c r="FB48" s="5"/>
      <c r="FC48" s="29">
        <f t="shared" si="111"/>
        <v>0</v>
      </c>
      <c r="FD48" s="5"/>
      <c r="FE48" s="29">
        <f t="shared" ref="FE48:FE52" si="112">BE48</f>
        <v>0</v>
      </c>
      <c r="FF48" s="5"/>
      <c r="FG48" s="29">
        <v>0</v>
      </c>
      <c r="FH48" s="5"/>
      <c r="FI48" s="29">
        <f t="shared" ref="FI48:FI61" si="113">BI48-BK48</f>
        <v>0</v>
      </c>
      <c r="FJ48" s="5"/>
      <c r="FK48" s="29">
        <f t="shared" ref="FK48:FK61" si="114">BK48-BM48</f>
        <v>0</v>
      </c>
      <c r="FL48" s="5"/>
      <c r="FM48" s="29">
        <f t="shared" ref="FM48:FM61" si="115">BM48-BO48</f>
        <v>0</v>
      </c>
      <c r="FN48" s="5"/>
      <c r="FO48" s="29">
        <f t="shared" ref="FO48:FO61" si="116">BO48-BQ48</f>
        <v>0</v>
      </c>
      <c r="FP48" s="5"/>
      <c r="FQ48" s="29">
        <f t="shared" ref="FQ48:FQ61" si="117">BQ48-BS48</f>
        <v>0</v>
      </c>
      <c r="FR48" s="5"/>
      <c r="FS48" s="29">
        <f t="shared" ref="FS48:FS61" si="118">BS48</f>
        <v>0</v>
      </c>
      <c r="FT48" s="5"/>
      <c r="FU48" s="29">
        <f t="shared" ref="FU48:FY61" si="119">BU48-BW48</f>
        <v>0</v>
      </c>
      <c r="FV48" s="5"/>
      <c r="FW48" s="29">
        <f t="shared" si="119"/>
        <v>0</v>
      </c>
      <c r="FX48" s="5"/>
      <c r="FY48" s="29">
        <f t="shared" si="119"/>
        <v>0</v>
      </c>
      <c r="FZ48" s="5"/>
      <c r="GA48" s="29">
        <f t="shared" ref="GA48:GA61" si="120">CA48</f>
        <v>0</v>
      </c>
      <c r="GB48" s="5"/>
      <c r="GC48" s="29">
        <f t="shared" ref="GC48:GG61" si="121">CC48-CE48</f>
        <v>0</v>
      </c>
      <c r="GD48" s="5"/>
      <c r="GE48" s="29">
        <f t="shared" si="121"/>
        <v>0</v>
      </c>
      <c r="GF48" s="5"/>
      <c r="GG48" s="29">
        <f t="shared" si="121"/>
        <v>0</v>
      </c>
      <c r="GH48" s="5"/>
      <c r="GI48" s="29">
        <f t="shared" ref="GI48:GI61" si="122">CI48</f>
        <v>0</v>
      </c>
      <c r="GJ48" s="5"/>
      <c r="GK48" s="29">
        <f t="shared" ref="GK48:GM61" si="123">CK48-CM48</f>
        <v>46127.999999993364</v>
      </c>
      <c r="GL48" s="5"/>
      <c r="GM48" s="29">
        <f t="shared" si="123"/>
        <v>-46127.999999993248</v>
      </c>
      <c r="GN48" s="5"/>
      <c r="GO48" s="29">
        <f t="shared" ref="GO48:GO61" si="124">CO48-CQ48</f>
        <v>-4.4237822294235229E-9</v>
      </c>
      <c r="GP48" s="5"/>
      <c r="GQ48" s="29">
        <f t="shared" ref="GQ48:GQ61" si="125">CQ48</f>
        <v>4.3073669075965881E-9</v>
      </c>
      <c r="GR48" s="5"/>
      <c r="GS48" s="29">
        <f t="shared" ref="GS48:GU61" si="126">CS48-CU48</f>
        <v>29891074.087636512</v>
      </c>
      <c r="GT48" s="5"/>
      <c r="GU48" s="29">
        <f t="shared" si="126"/>
        <v>123038.60382093363</v>
      </c>
    </row>
    <row r="49" spans="1:203">
      <c r="A49" s="38" t="s">
        <v>125</v>
      </c>
      <c r="C49" s="29"/>
      <c r="E49" s="29"/>
      <c r="G49" s="29"/>
      <c r="I49" s="29">
        <v>0</v>
      </c>
      <c r="K49" s="29">
        <v>0</v>
      </c>
      <c r="M49" s="29">
        <v>0</v>
      </c>
      <c r="O49" s="29">
        <v>0</v>
      </c>
      <c r="Q49" s="29">
        <v>0</v>
      </c>
      <c r="S49" s="29">
        <v>5975400</v>
      </c>
      <c r="U49" s="29">
        <v>8556177.3800000008</v>
      </c>
      <c r="W49" s="29">
        <v>2975596.1999999993</v>
      </c>
      <c r="Y49" s="29">
        <v>1500000</v>
      </c>
      <c r="AA49" s="29">
        <v>11295701.32</v>
      </c>
      <c r="AC49" s="29">
        <v>6503238.7699999996</v>
      </c>
      <c r="AE49" s="29">
        <v>13742884.300000001</v>
      </c>
      <c r="AG49" s="29">
        <v>0</v>
      </c>
      <c r="AI49" s="29">
        <v>0</v>
      </c>
      <c r="AK49" s="29">
        <v>0</v>
      </c>
      <c r="AM49" s="29">
        <v>0</v>
      </c>
      <c r="AO49" s="29">
        <v>0</v>
      </c>
      <c r="AQ49" s="29">
        <v>0</v>
      </c>
      <c r="AS49" s="29">
        <v>0</v>
      </c>
      <c r="AU49" s="29">
        <v>7063968.8600000003</v>
      </c>
      <c r="AW49" s="29">
        <v>0</v>
      </c>
      <c r="AY49" s="29">
        <v>0</v>
      </c>
      <c r="BA49" s="29">
        <v>0</v>
      </c>
      <c r="BC49" s="29">
        <v>0</v>
      </c>
      <c r="BE49" s="29">
        <v>0</v>
      </c>
      <c r="BG49" s="29">
        <v>3385735</v>
      </c>
      <c r="BI49" s="29">
        <v>4543667.1899999995</v>
      </c>
      <c r="BK49" s="29">
        <v>3202102.1199999992</v>
      </c>
      <c r="BM49" s="29">
        <v>1704091.6999999993</v>
      </c>
      <c r="BO49" s="29">
        <v>4651141.8800000008</v>
      </c>
      <c r="BQ49" s="29">
        <v>3949078.7699999996</v>
      </c>
      <c r="BS49" s="29">
        <v>1277723.4300000002</v>
      </c>
      <c r="BU49" s="29">
        <v>1686176.5000000002</v>
      </c>
      <c r="BW49" s="29">
        <v>2948869.0300000003</v>
      </c>
      <c r="BY49" s="29">
        <v>2723387.54</v>
      </c>
      <c r="CA49" s="29">
        <v>2171324.4300000006</v>
      </c>
      <c r="CC49" s="29">
        <v>-9.3132257461547852E-10</v>
      </c>
      <c r="CE49" s="29">
        <v>-4.6566128730773926E-10</v>
      </c>
      <c r="CG49" s="29">
        <v>208.32999999960884</v>
      </c>
      <c r="CI49" s="29">
        <v>0</v>
      </c>
      <c r="CK49" s="29">
        <v>3493892.6</v>
      </c>
      <c r="CM49" s="29">
        <v>3493892.6000000006</v>
      </c>
      <c r="CO49" s="29">
        <v>3493892.6</v>
      </c>
      <c r="CQ49" s="29">
        <v>3493892.56</v>
      </c>
      <c r="CS49" s="29">
        <v>2928357.83</v>
      </c>
      <c r="CU49" s="29">
        <v>1454619.68</v>
      </c>
      <c r="CW49" s="29">
        <v>1124931.1400000004</v>
      </c>
      <c r="CY49" s="29"/>
      <c r="DA49" s="29"/>
      <c r="DC49" s="29"/>
      <c r="DD49" s="5"/>
      <c r="DE49" s="29"/>
      <c r="DF49" s="5"/>
      <c r="DG49" s="29"/>
      <c r="DH49" s="5"/>
      <c r="DI49" s="29">
        <f t="shared" si="97"/>
        <v>0</v>
      </c>
      <c r="DJ49" s="5"/>
      <c r="DK49" s="29">
        <f t="shared" si="98"/>
        <v>0</v>
      </c>
      <c r="DL49" s="5"/>
      <c r="DM49" s="29">
        <f t="shared" si="98"/>
        <v>0</v>
      </c>
      <c r="DN49" s="5"/>
      <c r="DO49" s="29">
        <f t="shared" si="98"/>
        <v>0</v>
      </c>
      <c r="DP49" s="5"/>
      <c r="DQ49" s="29">
        <f t="shared" si="99"/>
        <v>0</v>
      </c>
      <c r="DR49" s="5"/>
      <c r="DS49" s="29">
        <f t="shared" si="100"/>
        <v>-2580777.3800000008</v>
      </c>
      <c r="DT49" s="5"/>
      <c r="DU49" s="29">
        <f t="shared" si="100"/>
        <v>5580581.1800000016</v>
      </c>
      <c r="DV49" s="5"/>
      <c r="DW49" s="29">
        <f t="shared" si="100"/>
        <v>1475596.1999999993</v>
      </c>
      <c r="DX49" s="5"/>
      <c r="DY49" s="29">
        <f>Y49</f>
        <v>1500000</v>
      </c>
      <c r="DZ49" s="5"/>
      <c r="EA49" s="29">
        <f t="shared" si="101"/>
        <v>4792462.5500000007</v>
      </c>
      <c r="EB49" s="5"/>
      <c r="EC49" s="29">
        <f t="shared" si="102"/>
        <v>-7239645.5300000012</v>
      </c>
      <c r="ED49" s="5"/>
      <c r="EE49" s="29">
        <f t="shared" si="103"/>
        <v>13742884.300000001</v>
      </c>
      <c r="EF49" s="5"/>
      <c r="EG49" s="29">
        <f t="shared" si="104"/>
        <v>0</v>
      </c>
      <c r="EH49" s="5"/>
      <c r="EI49" s="29">
        <f t="shared" si="105"/>
        <v>0</v>
      </c>
      <c r="EJ49" s="5"/>
      <c r="EK49" s="29">
        <f t="shared" si="105"/>
        <v>0</v>
      </c>
      <c r="EL49" s="5"/>
      <c r="EM49" s="29">
        <f t="shared" si="105"/>
        <v>0</v>
      </c>
      <c r="EN49" s="5"/>
      <c r="EO49" s="29">
        <f t="shared" si="106"/>
        <v>0</v>
      </c>
      <c r="EP49" s="5"/>
      <c r="EQ49" s="29">
        <f t="shared" si="107"/>
        <v>0</v>
      </c>
      <c r="ER49" s="5"/>
      <c r="ES49" s="29">
        <f t="shared" si="108"/>
        <v>-7063968.8600000003</v>
      </c>
      <c r="ET49" s="5"/>
      <c r="EU49" s="29">
        <f t="shared" si="109"/>
        <v>7063968.8600000003</v>
      </c>
      <c r="EV49" s="5"/>
      <c r="EW49" s="29">
        <f t="shared" si="110"/>
        <v>0</v>
      </c>
      <c r="EX49" s="5"/>
      <c r="EY49" s="29">
        <f t="shared" si="111"/>
        <v>0</v>
      </c>
      <c r="EZ49" s="5"/>
      <c r="FA49" s="29">
        <f t="shared" si="111"/>
        <v>0</v>
      </c>
      <c r="FB49" s="5"/>
      <c r="FC49" s="29">
        <f t="shared" si="111"/>
        <v>0</v>
      </c>
      <c r="FD49" s="5"/>
      <c r="FE49" s="29">
        <f t="shared" si="112"/>
        <v>0</v>
      </c>
      <c r="FF49" s="5"/>
      <c r="FG49" s="29">
        <v>0</v>
      </c>
      <c r="FH49" s="5"/>
      <c r="FI49" s="29">
        <f t="shared" si="113"/>
        <v>1341565.0700000003</v>
      </c>
      <c r="FJ49" s="5"/>
      <c r="FK49" s="29">
        <f t="shared" si="114"/>
        <v>1498010.42</v>
      </c>
      <c r="FL49" s="5"/>
      <c r="FM49" s="29">
        <f t="shared" si="115"/>
        <v>-2947050.1800000016</v>
      </c>
      <c r="FN49" s="5"/>
      <c r="FO49" s="29">
        <f t="shared" si="116"/>
        <v>702063.11000000127</v>
      </c>
      <c r="FP49" s="5"/>
      <c r="FQ49" s="29">
        <f t="shared" si="117"/>
        <v>2671355.3399999994</v>
      </c>
      <c r="FR49" s="5"/>
      <c r="FS49" s="29">
        <f t="shared" si="118"/>
        <v>1277723.4300000002</v>
      </c>
      <c r="FT49" s="5"/>
      <c r="FU49" s="29">
        <f t="shared" si="119"/>
        <v>-1262692.53</v>
      </c>
      <c r="FV49" s="5"/>
      <c r="FW49" s="29">
        <f t="shared" si="119"/>
        <v>225481.49000000022</v>
      </c>
      <c r="FX49" s="5"/>
      <c r="FY49" s="29">
        <f t="shared" si="119"/>
        <v>552063.1099999994</v>
      </c>
      <c r="FZ49" s="5"/>
      <c r="GA49" s="29">
        <f t="shared" si="120"/>
        <v>2171324.4300000006</v>
      </c>
      <c r="GB49" s="5"/>
      <c r="GC49" s="29">
        <f t="shared" si="121"/>
        <v>-4.6566128730773926E-10</v>
      </c>
      <c r="GD49" s="5"/>
      <c r="GE49" s="29">
        <f t="shared" si="121"/>
        <v>-208.33000000007451</v>
      </c>
      <c r="GF49" s="5"/>
      <c r="GG49" s="29">
        <f t="shared" si="121"/>
        <v>208.32999999960884</v>
      </c>
      <c r="GH49" s="5"/>
      <c r="GI49" s="29">
        <f t="shared" si="122"/>
        <v>0</v>
      </c>
      <c r="GJ49" s="5"/>
      <c r="GK49" s="29">
        <f t="shared" si="123"/>
        <v>0</v>
      </c>
      <c r="GL49" s="5"/>
      <c r="GM49" s="29">
        <f t="shared" si="123"/>
        <v>0</v>
      </c>
      <c r="GN49" s="5"/>
      <c r="GO49" s="29">
        <f t="shared" si="124"/>
        <v>4.0000000037252903E-2</v>
      </c>
      <c r="GP49" s="5"/>
      <c r="GQ49" s="29">
        <f t="shared" si="125"/>
        <v>3493892.56</v>
      </c>
      <c r="GR49" s="5"/>
      <c r="GS49" s="29">
        <f t="shared" si="126"/>
        <v>1473738.1500000001</v>
      </c>
      <c r="GT49" s="5"/>
      <c r="GU49" s="29">
        <f t="shared" si="126"/>
        <v>329688.53999999957</v>
      </c>
    </row>
    <row r="50" spans="1:203">
      <c r="A50" s="38" t="s">
        <v>126</v>
      </c>
      <c r="C50" s="29"/>
      <c r="E50" s="29"/>
      <c r="G50" s="29"/>
      <c r="I50" s="29">
        <v>0</v>
      </c>
      <c r="K50" s="29">
        <v>0</v>
      </c>
      <c r="M50" s="29">
        <v>0</v>
      </c>
      <c r="O50" s="29">
        <v>0</v>
      </c>
      <c r="Q50" s="29">
        <v>0</v>
      </c>
      <c r="S50" s="29">
        <v>0</v>
      </c>
      <c r="U50" s="29">
        <v>0</v>
      </c>
      <c r="W50" s="29">
        <v>0</v>
      </c>
      <c r="Y50" s="29">
        <v>0</v>
      </c>
      <c r="AA50" s="29">
        <v>0</v>
      </c>
      <c r="AC50" s="29">
        <v>0</v>
      </c>
      <c r="AE50" s="29">
        <v>0</v>
      </c>
      <c r="AG50" s="29">
        <v>0</v>
      </c>
      <c r="AI50" s="29">
        <v>0</v>
      </c>
      <c r="AK50" s="29">
        <v>0</v>
      </c>
      <c r="AM50" s="29">
        <v>0</v>
      </c>
      <c r="AO50" s="29">
        <v>0</v>
      </c>
      <c r="AQ50" s="29">
        <v>0</v>
      </c>
      <c r="AS50" s="29">
        <v>0</v>
      </c>
      <c r="AU50" s="29">
        <v>0</v>
      </c>
      <c r="AW50" s="29">
        <v>0</v>
      </c>
      <c r="AY50" s="29">
        <v>0</v>
      </c>
      <c r="BA50" s="29">
        <v>0</v>
      </c>
      <c r="BC50" s="29">
        <v>0</v>
      </c>
      <c r="BE50" s="29">
        <v>0</v>
      </c>
      <c r="BG50" s="29">
        <v>0</v>
      </c>
      <c r="BI50" s="29">
        <v>0</v>
      </c>
      <c r="BK50" s="29">
        <v>0</v>
      </c>
      <c r="BM50" s="29">
        <v>0</v>
      </c>
      <c r="BO50" s="29">
        <v>0</v>
      </c>
      <c r="BQ50" s="29">
        <v>0</v>
      </c>
      <c r="BS50" s="29">
        <v>0</v>
      </c>
      <c r="BU50" s="29">
        <v>0</v>
      </c>
      <c r="BW50" s="29">
        <v>0</v>
      </c>
      <c r="BY50" s="29">
        <v>0</v>
      </c>
      <c r="CA50" s="29">
        <v>0</v>
      </c>
      <c r="CC50" s="29">
        <v>0</v>
      </c>
      <c r="CE50" s="29">
        <v>0</v>
      </c>
      <c r="CG50" s="29">
        <v>0</v>
      </c>
      <c r="CI50" s="29">
        <v>0</v>
      </c>
      <c r="CK50" s="29">
        <v>0</v>
      </c>
      <c r="CM50" s="29">
        <v>0</v>
      </c>
      <c r="CO50" s="29">
        <v>0</v>
      </c>
      <c r="CQ50" s="29">
        <v>0</v>
      </c>
      <c r="CS50" s="29">
        <v>0</v>
      </c>
      <c r="CU50" s="29">
        <v>0</v>
      </c>
      <c r="CW50" s="29">
        <v>0</v>
      </c>
      <c r="CY50" s="29"/>
      <c r="DA50" s="29"/>
      <c r="DC50" s="29"/>
      <c r="DD50" s="5"/>
      <c r="DE50" s="29"/>
      <c r="DF50" s="5"/>
      <c r="DG50" s="29"/>
      <c r="DH50" s="5"/>
      <c r="DI50" s="29">
        <f t="shared" si="97"/>
        <v>0</v>
      </c>
      <c r="DJ50" s="5"/>
      <c r="DK50" s="29">
        <f t="shared" si="98"/>
        <v>0</v>
      </c>
      <c r="DL50" s="5"/>
      <c r="DM50" s="29">
        <f t="shared" si="98"/>
        <v>0</v>
      </c>
      <c r="DN50" s="5"/>
      <c r="DO50" s="29">
        <f t="shared" si="98"/>
        <v>0</v>
      </c>
      <c r="DP50" s="5"/>
      <c r="DQ50" s="29">
        <f t="shared" si="99"/>
        <v>0</v>
      </c>
      <c r="DR50" s="5"/>
      <c r="DS50" s="29">
        <f t="shared" si="100"/>
        <v>0</v>
      </c>
      <c r="DT50" s="5"/>
      <c r="DU50" s="29">
        <f t="shared" si="100"/>
        <v>0</v>
      </c>
      <c r="DV50" s="5"/>
      <c r="DW50" s="29">
        <f t="shared" si="100"/>
        <v>0</v>
      </c>
      <c r="DX50" s="5"/>
      <c r="DY50" s="29">
        <f>Y50</f>
        <v>0</v>
      </c>
      <c r="DZ50" s="5"/>
      <c r="EA50" s="29">
        <f t="shared" si="101"/>
        <v>0</v>
      </c>
      <c r="EB50" s="5"/>
      <c r="EC50" s="29">
        <f t="shared" si="102"/>
        <v>0</v>
      </c>
      <c r="ED50" s="5"/>
      <c r="EE50" s="29">
        <f t="shared" si="103"/>
        <v>0</v>
      </c>
      <c r="EF50" s="5"/>
      <c r="EG50" s="29">
        <f t="shared" si="104"/>
        <v>0</v>
      </c>
      <c r="EH50" s="5"/>
      <c r="EI50" s="29">
        <f t="shared" si="105"/>
        <v>0</v>
      </c>
      <c r="EJ50" s="5"/>
      <c r="EK50" s="29">
        <f t="shared" si="105"/>
        <v>0</v>
      </c>
      <c r="EL50" s="5"/>
      <c r="EM50" s="29">
        <f t="shared" si="105"/>
        <v>0</v>
      </c>
      <c r="EN50" s="5"/>
      <c r="EO50" s="29">
        <f t="shared" si="106"/>
        <v>0</v>
      </c>
      <c r="EP50" s="5"/>
      <c r="EQ50" s="29">
        <f t="shared" si="107"/>
        <v>0</v>
      </c>
      <c r="ER50" s="5"/>
      <c r="ES50" s="29">
        <f t="shared" si="108"/>
        <v>0</v>
      </c>
      <c r="ET50" s="5"/>
      <c r="EU50" s="29">
        <f t="shared" si="109"/>
        <v>0</v>
      </c>
      <c r="EV50" s="5"/>
      <c r="EW50" s="29">
        <f t="shared" si="110"/>
        <v>0</v>
      </c>
      <c r="EX50" s="5"/>
      <c r="EY50" s="29">
        <f t="shared" si="111"/>
        <v>0</v>
      </c>
      <c r="EZ50" s="5"/>
      <c r="FA50" s="29">
        <f t="shared" si="111"/>
        <v>0</v>
      </c>
      <c r="FB50" s="5"/>
      <c r="FC50" s="29">
        <f t="shared" si="111"/>
        <v>0</v>
      </c>
      <c r="FD50" s="5"/>
      <c r="FE50" s="29">
        <f t="shared" si="112"/>
        <v>0</v>
      </c>
      <c r="FF50" s="5"/>
      <c r="FG50" s="29">
        <v>0</v>
      </c>
      <c r="FH50" s="5"/>
      <c r="FI50" s="29">
        <f t="shared" si="113"/>
        <v>0</v>
      </c>
      <c r="FJ50" s="5"/>
      <c r="FK50" s="29">
        <f t="shared" si="114"/>
        <v>0</v>
      </c>
      <c r="FL50" s="5"/>
      <c r="FM50" s="29">
        <f t="shared" si="115"/>
        <v>0</v>
      </c>
      <c r="FN50" s="5"/>
      <c r="FO50" s="29">
        <f t="shared" si="116"/>
        <v>0</v>
      </c>
      <c r="FP50" s="5"/>
      <c r="FQ50" s="29">
        <f t="shared" si="117"/>
        <v>0</v>
      </c>
      <c r="FR50" s="5"/>
      <c r="FS50" s="29">
        <f t="shared" si="118"/>
        <v>0</v>
      </c>
      <c r="FT50" s="5"/>
      <c r="FU50" s="29">
        <f t="shared" si="119"/>
        <v>0</v>
      </c>
      <c r="FV50" s="5"/>
      <c r="FW50" s="29">
        <f t="shared" si="119"/>
        <v>0</v>
      </c>
      <c r="FX50" s="5"/>
      <c r="FY50" s="29">
        <f t="shared" si="119"/>
        <v>0</v>
      </c>
      <c r="FZ50" s="5"/>
      <c r="GA50" s="29">
        <f t="shared" si="120"/>
        <v>0</v>
      </c>
      <c r="GB50" s="5"/>
      <c r="GC50" s="29">
        <f t="shared" si="121"/>
        <v>0</v>
      </c>
      <c r="GD50" s="5"/>
      <c r="GE50" s="29">
        <f t="shared" si="121"/>
        <v>0</v>
      </c>
      <c r="GF50" s="5"/>
      <c r="GG50" s="29">
        <f t="shared" si="121"/>
        <v>0</v>
      </c>
      <c r="GH50" s="5"/>
      <c r="GI50" s="29">
        <f t="shared" si="122"/>
        <v>0</v>
      </c>
      <c r="GJ50" s="5"/>
      <c r="GK50" s="29">
        <f t="shared" si="123"/>
        <v>0</v>
      </c>
      <c r="GL50" s="5"/>
      <c r="GM50" s="29">
        <f t="shared" si="123"/>
        <v>0</v>
      </c>
      <c r="GN50" s="5"/>
      <c r="GO50" s="29">
        <f t="shared" si="124"/>
        <v>0</v>
      </c>
      <c r="GP50" s="5"/>
      <c r="GQ50" s="29">
        <f t="shared" si="125"/>
        <v>0</v>
      </c>
      <c r="GR50" s="5"/>
      <c r="GS50" s="29">
        <f t="shared" si="126"/>
        <v>0</v>
      </c>
      <c r="GT50" s="5"/>
      <c r="GU50" s="29">
        <f t="shared" si="126"/>
        <v>0</v>
      </c>
    </row>
    <row r="51" spans="1:203">
      <c r="A51" s="38" t="s">
        <v>127</v>
      </c>
      <c r="C51" s="29"/>
      <c r="E51" s="29"/>
      <c r="G51" s="29"/>
      <c r="I51" s="29">
        <v>0</v>
      </c>
      <c r="K51" s="29">
        <v>0</v>
      </c>
      <c r="M51" s="29">
        <v>0</v>
      </c>
      <c r="O51" s="29">
        <v>0</v>
      </c>
      <c r="Q51" s="29">
        <v>0</v>
      </c>
      <c r="S51" s="29">
        <v>0</v>
      </c>
      <c r="U51" s="29">
        <v>0</v>
      </c>
      <c r="W51" s="29">
        <v>0</v>
      </c>
      <c r="Y51" s="29">
        <v>-0.26000000004387447</v>
      </c>
      <c r="AA51" s="29">
        <v>0</v>
      </c>
      <c r="AC51" s="29">
        <v>1.650000001063745</v>
      </c>
      <c r="AE51" s="29">
        <v>0</v>
      </c>
      <c r="AG51" s="29">
        <v>0</v>
      </c>
      <c r="AI51" s="29">
        <v>0</v>
      </c>
      <c r="AK51" s="29">
        <v>9.0949470177292824E-10</v>
      </c>
      <c r="AM51" s="29">
        <v>0</v>
      </c>
      <c r="AO51" s="29">
        <v>0</v>
      </c>
      <c r="AQ51" s="29">
        <v>0</v>
      </c>
      <c r="AS51" s="29">
        <v>0</v>
      </c>
      <c r="AU51" s="29">
        <v>0</v>
      </c>
      <c r="AW51" s="29">
        <v>0</v>
      </c>
      <c r="AY51" s="29">
        <v>0</v>
      </c>
      <c r="BA51" s="29">
        <v>-17027.560000000052</v>
      </c>
      <c r="BC51" s="29">
        <v>-17027.560000000027</v>
      </c>
      <c r="BE51" s="29">
        <v>0</v>
      </c>
      <c r="BG51" s="29">
        <v>0</v>
      </c>
      <c r="BI51" s="29">
        <v>0</v>
      </c>
      <c r="BK51" s="29">
        <v>0</v>
      </c>
      <c r="BM51" s="29">
        <v>0</v>
      </c>
      <c r="BO51" s="29">
        <v>0</v>
      </c>
      <c r="BQ51" s="29">
        <v>0</v>
      </c>
      <c r="BS51" s="29">
        <v>5.8207660913467407E-11</v>
      </c>
      <c r="BU51" s="29">
        <v>1.1641532182693481E-10</v>
      </c>
      <c r="BW51" s="29">
        <v>0</v>
      </c>
      <c r="BY51" s="29">
        <v>0</v>
      </c>
      <c r="CA51" s="29">
        <v>1.1641532182693481E-10</v>
      </c>
      <c r="CC51" s="29">
        <v>-1.302652875892818E-3</v>
      </c>
      <c r="CE51" s="29">
        <v>-1.3026532251387835E-3</v>
      </c>
      <c r="CG51" s="29">
        <v>0</v>
      </c>
      <c r="CI51" s="29">
        <v>0</v>
      </c>
      <c r="CK51" s="29">
        <v>0</v>
      </c>
      <c r="CM51" s="29">
        <v>0</v>
      </c>
      <c r="CO51" s="29">
        <v>0</v>
      </c>
      <c r="CQ51" s="29">
        <v>0</v>
      </c>
      <c r="CS51" s="29">
        <v>0</v>
      </c>
      <c r="CU51" s="29">
        <v>0</v>
      </c>
      <c r="CW51" s="29">
        <v>0</v>
      </c>
      <c r="CY51" s="29"/>
      <c r="DA51" s="29"/>
      <c r="DC51" s="29"/>
      <c r="DD51" s="5"/>
      <c r="DE51" s="29"/>
      <c r="DF51" s="5"/>
      <c r="DG51" s="29"/>
      <c r="DH51" s="5"/>
      <c r="DI51" s="29">
        <f t="shared" si="97"/>
        <v>0</v>
      </c>
      <c r="DJ51" s="5"/>
      <c r="DK51" s="29">
        <f t="shared" si="98"/>
        <v>0</v>
      </c>
      <c r="DL51" s="5"/>
      <c r="DM51" s="29">
        <f t="shared" si="98"/>
        <v>0</v>
      </c>
      <c r="DN51" s="5"/>
      <c r="DO51" s="29">
        <f t="shared" si="98"/>
        <v>0</v>
      </c>
      <c r="DP51" s="5"/>
      <c r="DQ51" s="29">
        <f t="shared" si="99"/>
        <v>0</v>
      </c>
      <c r="DR51" s="5"/>
      <c r="DS51" s="29">
        <f t="shared" si="100"/>
        <v>0</v>
      </c>
      <c r="DT51" s="5"/>
      <c r="DU51" s="29">
        <f t="shared" si="100"/>
        <v>0</v>
      </c>
      <c r="DV51" s="5"/>
      <c r="DW51" s="29">
        <f t="shared" si="100"/>
        <v>0.26000000004387447</v>
      </c>
      <c r="DX51" s="5"/>
      <c r="DY51" s="29">
        <f>Y51</f>
        <v>-0.26000000004387447</v>
      </c>
      <c r="DZ51" s="5"/>
      <c r="EA51" s="29">
        <f t="shared" si="101"/>
        <v>-1.650000001063745</v>
      </c>
      <c r="EB51" s="5"/>
      <c r="EC51" s="29">
        <f t="shared" si="102"/>
        <v>1.650000001063745</v>
      </c>
      <c r="ED51" s="5"/>
      <c r="EE51" s="29">
        <f t="shared" si="103"/>
        <v>0</v>
      </c>
      <c r="EF51" s="5"/>
      <c r="EG51" s="29">
        <f t="shared" si="104"/>
        <v>0</v>
      </c>
      <c r="EH51" s="5"/>
      <c r="EI51" s="29">
        <f t="shared" si="105"/>
        <v>-9.0949470177292824E-10</v>
      </c>
      <c r="EJ51" s="5"/>
      <c r="EK51" s="29">
        <f t="shared" si="105"/>
        <v>9.0949470177292824E-10</v>
      </c>
      <c r="EL51" s="5"/>
      <c r="EM51" s="29">
        <f t="shared" si="105"/>
        <v>0</v>
      </c>
      <c r="EN51" s="5"/>
      <c r="EO51" s="29">
        <f t="shared" si="106"/>
        <v>0</v>
      </c>
      <c r="EP51" s="5"/>
      <c r="EQ51" s="29">
        <f t="shared" si="107"/>
        <v>0</v>
      </c>
      <c r="ER51" s="5"/>
      <c r="ES51" s="29">
        <f t="shared" si="108"/>
        <v>0</v>
      </c>
      <c r="ET51" s="5"/>
      <c r="EU51" s="29">
        <f t="shared" si="109"/>
        <v>0</v>
      </c>
      <c r="EV51" s="5"/>
      <c r="EW51" s="29">
        <f t="shared" si="110"/>
        <v>0</v>
      </c>
      <c r="EX51" s="5"/>
      <c r="EY51" s="29">
        <f t="shared" si="111"/>
        <v>17027.560000000052</v>
      </c>
      <c r="EZ51" s="5"/>
      <c r="FA51" s="29">
        <f t="shared" si="111"/>
        <v>0</v>
      </c>
      <c r="FB51" s="5"/>
      <c r="FC51" s="29">
        <f t="shared" si="111"/>
        <v>-17027.560000000027</v>
      </c>
      <c r="FD51" s="5"/>
      <c r="FE51" s="29">
        <f t="shared" si="112"/>
        <v>0</v>
      </c>
      <c r="FF51" s="5"/>
      <c r="FG51" s="29">
        <v>1.1641532182693481E-10</v>
      </c>
      <c r="FH51" s="5"/>
      <c r="FI51" s="29">
        <f t="shared" si="113"/>
        <v>0</v>
      </c>
      <c r="FJ51" s="5"/>
      <c r="FK51" s="29">
        <f t="shared" si="114"/>
        <v>0</v>
      </c>
      <c r="FL51" s="5"/>
      <c r="FM51" s="29">
        <f t="shared" si="115"/>
        <v>0</v>
      </c>
      <c r="FN51" s="5"/>
      <c r="FO51" s="29">
        <f t="shared" si="116"/>
        <v>0</v>
      </c>
      <c r="FP51" s="5"/>
      <c r="FQ51" s="29">
        <f t="shared" si="117"/>
        <v>-5.8207660913467407E-11</v>
      </c>
      <c r="FR51" s="5"/>
      <c r="FS51" s="29">
        <f t="shared" si="118"/>
        <v>5.8207660913467407E-11</v>
      </c>
      <c r="FT51" s="5"/>
      <c r="FU51" s="29">
        <f t="shared" si="119"/>
        <v>1.1641532182693481E-10</v>
      </c>
      <c r="FV51" s="5"/>
      <c r="FW51" s="29">
        <f t="shared" si="119"/>
        <v>0</v>
      </c>
      <c r="FX51" s="5"/>
      <c r="FY51" s="29">
        <f t="shared" si="119"/>
        <v>-1.1641532182693481E-10</v>
      </c>
      <c r="FZ51" s="5"/>
      <c r="GA51" s="29">
        <f t="shared" si="120"/>
        <v>1.1641532182693481E-10</v>
      </c>
      <c r="GB51" s="5"/>
      <c r="GC51" s="29">
        <f t="shared" si="121"/>
        <v>3.4924596548080444E-10</v>
      </c>
      <c r="GD51" s="5"/>
      <c r="GE51" s="29">
        <f t="shared" si="121"/>
        <v>-1.3026532251387835E-3</v>
      </c>
      <c r="GF51" s="5"/>
      <c r="GG51" s="29">
        <f t="shared" si="121"/>
        <v>0</v>
      </c>
      <c r="GH51" s="5"/>
      <c r="GI51" s="29">
        <f t="shared" si="122"/>
        <v>0</v>
      </c>
      <c r="GJ51" s="5"/>
      <c r="GK51" s="29">
        <f t="shared" si="123"/>
        <v>0</v>
      </c>
      <c r="GL51" s="5"/>
      <c r="GM51" s="29">
        <f t="shared" si="123"/>
        <v>0</v>
      </c>
      <c r="GN51" s="5"/>
      <c r="GO51" s="29">
        <f t="shared" si="124"/>
        <v>0</v>
      </c>
      <c r="GP51" s="5"/>
      <c r="GQ51" s="29">
        <f t="shared" si="125"/>
        <v>0</v>
      </c>
      <c r="GR51" s="5"/>
      <c r="GS51" s="29">
        <f t="shared" si="126"/>
        <v>0</v>
      </c>
      <c r="GT51" s="5"/>
      <c r="GU51" s="29">
        <f t="shared" si="126"/>
        <v>0</v>
      </c>
    </row>
    <row r="52" spans="1:203">
      <c r="A52" s="38" t="s">
        <v>128</v>
      </c>
      <c r="C52" s="29"/>
      <c r="E52" s="29"/>
      <c r="G52" s="29"/>
      <c r="I52" s="29">
        <v>0</v>
      </c>
      <c r="K52" s="29">
        <v>0</v>
      </c>
      <c r="M52" s="29">
        <v>0</v>
      </c>
      <c r="O52" s="29">
        <v>0</v>
      </c>
      <c r="Q52" s="29">
        <v>0</v>
      </c>
      <c r="S52" s="29">
        <v>0</v>
      </c>
      <c r="U52" s="29">
        <v>0</v>
      </c>
      <c r="W52" s="29">
        <v>0</v>
      </c>
      <c r="Y52" s="29">
        <v>0</v>
      </c>
      <c r="AA52" s="29">
        <v>0</v>
      </c>
      <c r="AC52" s="29">
        <v>0</v>
      </c>
      <c r="AE52" s="29">
        <v>0</v>
      </c>
      <c r="AG52" s="29">
        <v>0</v>
      </c>
      <c r="AI52" s="29">
        <v>0</v>
      </c>
      <c r="AK52" s="29">
        <v>0</v>
      </c>
      <c r="AM52" s="29">
        <v>0</v>
      </c>
      <c r="AO52" s="29">
        <v>0</v>
      </c>
      <c r="AQ52" s="29">
        <v>0</v>
      </c>
      <c r="AS52" s="29">
        <v>0</v>
      </c>
      <c r="AU52" s="29">
        <v>0</v>
      </c>
      <c r="AW52" s="29">
        <v>0</v>
      </c>
      <c r="AY52" s="29">
        <v>0</v>
      </c>
      <c r="BA52" s="29">
        <v>0</v>
      </c>
      <c r="BC52" s="29">
        <v>0</v>
      </c>
      <c r="BE52" s="29">
        <v>0</v>
      </c>
      <c r="BG52" s="29">
        <v>0</v>
      </c>
      <c r="BI52" s="29">
        <v>0</v>
      </c>
      <c r="BK52" s="29">
        <v>0</v>
      </c>
      <c r="BM52" s="29">
        <v>0</v>
      </c>
      <c r="BO52" s="29">
        <v>0</v>
      </c>
      <c r="BQ52" s="29">
        <v>0</v>
      </c>
      <c r="BS52" s="29">
        <v>0</v>
      </c>
      <c r="BU52" s="29">
        <v>0</v>
      </c>
      <c r="BW52" s="29">
        <v>0</v>
      </c>
      <c r="BY52" s="29">
        <v>0</v>
      </c>
      <c r="CA52" s="29">
        <v>0</v>
      </c>
      <c r="CC52" s="29">
        <v>354500</v>
      </c>
      <c r="CE52" s="29">
        <v>0</v>
      </c>
      <c r="CG52" s="29">
        <v>0</v>
      </c>
      <c r="CI52" s="29">
        <v>0</v>
      </c>
      <c r="CK52" s="29">
        <v>2328040</v>
      </c>
      <c r="CM52" s="29">
        <v>2328040</v>
      </c>
      <c r="CO52" s="29">
        <v>2328040</v>
      </c>
      <c r="CQ52" s="29">
        <v>1784705.21</v>
      </c>
      <c r="CS52" s="29">
        <v>5186267.5199999996</v>
      </c>
      <c r="CU52" s="29">
        <v>2346215.02</v>
      </c>
      <c r="CW52" s="29">
        <v>2346215.02</v>
      </c>
      <c r="CY52" s="29"/>
      <c r="DA52" s="29"/>
      <c r="DC52" s="29"/>
      <c r="DD52" s="5"/>
      <c r="DE52" s="29"/>
      <c r="DF52" s="5"/>
      <c r="DG52" s="29"/>
      <c r="DH52" s="5"/>
      <c r="DI52" s="29">
        <f t="shared" si="97"/>
        <v>0</v>
      </c>
      <c r="DJ52" s="5"/>
      <c r="DK52" s="29">
        <f t="shared" si="98"/>
        <v>0</v>
      </c>
      <c r="DL52" s="5"/>
      <c r="DM52" s="29">
        <f t="shared" si="98"/>
        <v>0</v>
      </c>
      <c r="DN52" s="5"/>
      <c r="DO52" s="29">
        <f t="shared" si="98"/>
        <v>0</v>
      </c>
      <c r="DP52" s="5"/>
      <c r="DQ52" s="29">
        <f t="shared" si="99"/>
        <v>0</v>
      </c>
      <c r="DR52" s="5"/>
      <c r="DS52" s="29">
        <f t="shared" si="100"/>
        <v>0</v>
      </c>
      <c r="DT52" s="5"/>
      <c r="DU52" s="29">
        <f t="shared" si="100"/>
        <v>0</v>
      </c>
      <c r="DV52" s="5"/>
      <c r="DW52" s="29">
        <f t="shared" si="100"/>
        <v>0</v>
      </c>
      <c r="DX52" s="5"/>
      <c r="DY52" s="29">
        <f>Y52</f>
        <v>0</v>
      </c>
      <c r="DZ52" s="5"/>
      <c r="EA52" s="29">
        <f t="shared" si="101"/>
        <v>0</v>
      </c>
      <c r="EB52" s="5"/>
      <c r="EC52" s="29">
        <f t="shared" si="102"/>
        <v>0</v>
      </c>
      <c r="ED52" s="5"/>
      <c r="EE52" s="29">
        <f t="shared" si="103"/>
        <v>0</v>
      </c>
      <c r="EF52" s="5"/>
      <c r="EG52" s="29">
        <f t="shared" si="104"/>
        <v>0</v>
      </c>
      <c r="EH52" s="5"/>
      <c r="EI52" s="29">
        <f t="shared" si="105"/>
        <v>0</v>
      </c>
      <c r="EJ52" s="5"/>
      <c r="EK52" s="29">
        <f t="shared" si="105"/>
        <v>0</v>
      </c>
      <c r="EL52" s="5"/>
      <c r="EM52" s="29">
        <f t="shared" si="105"/>
        <v>0</v>
      </c>
      <c r="EN52" s="5"/>
      <c r="EO52" s="29">
        <f t="shared" si="106"/>
        <v>0</v>
      </c>
      <c r="EP52" s="5"/>
      <c r="EQ52" s="29">
        <f t="shared" si="107"/>
        <v>0</v>
      </c>
      <c r="ER52" s="5"/>
      <c r="ES52" s="29">
        <f t="shared" si="108"/>
        <v>0</v>
      </c>
      <c r="ET52" s="5"/>
      <c r="EU52" s="29">
        <f t="shared" si="109"/>
        <v>0</v>
      </c>
      <c r="EV52" s="5"/>
      <c r="EW52" s="29">
        <f t="shared" si="110"/>
        <v>0</v>
      </c>
      <c r="EX52" s="5"/>
      <c r="EY52" s="29">
        <f t="shared" si="111"/>
        <v>0</v>
      </c>
      <c r="EZ52" s="5"/>
      <c r="FA52" s="29">
        <f t="shared" si="111"/>
        <v>0</v>
      </c>
      <c r="FB52" s="5"/>
      <c r="FC52" s="29">
        <f t="shared" si="111"/>
        <v>0</v>
      </c>
      <c r="FD52" s="5"/>
      <c r="FE52" s="29">
        <f t="shared" si="112"/>
        <v>0</v>
      </c>
      <c r="FF52" s="5"/>
      <c r="FG52" s="29">
        <v>0</v>
      </c>
      <c r="FH52" s="5"/>
      <c r="FI52" s="29">
        <f t="shared" si="113"/>
        <v>0</v>
      </c>
      <c r="FJ52" s="5"/>
      <c r="FK52" s="29">
        <f t="shared" si="114"/>
        <v>0</v>
      </c>
      <c r="FL52" s="5"/>
      <c r="FM52" s="29">
        <f t="shared" si="115"/>
        <v>0</v>
      </c>
      <c r="FN52" s="5"/>
      <c r="FO52" s="29">
        <f t="shared" si="116"/>
        <v>0</v>
      </c>
      <c r="FP52" s="5"/>
      <c r="FQ52" s="29">
        <f t="shared" si="117"/>
        <v>0</v>
      </c>
      <c r="FR52" s="5"/>
      <c r="FS52" s="29">
        <f t="shared" si="118"/>
        <v>0</v>
      </c>
      <c r="FT52" s="5"/>
      <c r="FU52" s="29">
        <f t="shared" si="119"/>
        <v>0</v>
      </c>
      <c r="FV52" s="5"/>
      <c r="FW52" s="29">
        <f t="shared" si="119"/>
        <v>0</v>
      </c>
      <c r="FX52" s="5"/>
      <c r="FY52" s="29">
        <f t="shared" si="119"/>
        <v>0</v>
      </c>
      <c r="FZ52" s="5"/>
      <c r="GA52" s="29">
        <f t="shared" si="120"/>
        <v>0</v>
      </c>
      <c r="GB52" s="5"/>
      <c r="GC52" s="29">
        <f t="shared" si="121"/>
        <v>354500</v>
      </c>
      <c r="GD52" s="5"/>
      <c r="GE52" s="29">
        <f t="shared" si="121"/>
        <v>0</v>
      </c>
      <c r="GF52" s="5"/>
      <c r="GG52" s="29">
        <f t="shared" si="121"/>
        <v>0</v>
      </c>
      <c r="GH52" s="5"/>
      <c r="GI52" s="29">
        <f t="shared" si="122"/>
        <v>0</v>
      </c>
      <c r="GJ52" s="5"/>
      <c r="GK52" s="29">
        <f t="shared" si="123"/>
        <v>0</v>
      </c>
      <c r="GL52" s="5"/>
      <c r="GM52" s="29">
        <f t="shared" si="123"/>
        <v>0</v>
      </c>
      <c r="GN52" s="5"/>
      <c r="GO52" s="29">
        <f t="shared" si="124"/>
        <v>543334.79</v>
      </c>
      <c r="GP52" s="5"/>
      <c r="GQ52" s="29">
        <f t="shared" si="125"/>
        <v>1784705.21</v>
      </c>
      <c r="GR52" s="5"/>
      <c r="GS52" s="29">
        <f t="shared" si="126"/>
        <v>2840052.4999999995</v>
      </c>
      <c r="GT52" s="5"/>
      <c r="GU52" s="29">
        <f t="shared" si="126"/>
        <v>0</v>
      </c>
    </row>
    <row r="53" spans="1:203">
      <c r="A53" s="95" t="s">
        <v>114</v>
      </c>
      <c r="C53" s="29"/>
      <c r="E53" s="29"/>
      <c r="G53" s="29"/>
      <c r="I53" s="29"/>
      <c r="K53" s="29"/>
      <c r="M53" s="29"/>
      <c r="O53" s="29"/>
      <c r="Q53" s="29"/>
      <c r="S53" s="29"/>
      <c r="U53" s="29"/>
      <c r="W53" s="29"/>
      <c r="Y53" s="29"/>
      <c r="AA53" s="29"/>
      <c r="AC53" s="29"/>
      <c r="AE53" s="29"/>
      <c r="AG53" s="29"/>
      <c r="AI53" s="29"/>
      <c r="AK53" s="29"/>
      <c r="AM53" s="29"/>
      <c r="AO53" s="29"/>
      <c r="AQ53" s="29"/>
      <c r="AS53" s="29"/>
      <c r="AU53" s="29"/>
      <c r="AW53" s="29">
        <v>0</v>
      </c>
      <c r="AY53" s="29"/>
      <c r="BA53" s="29"/>
      <c r="BC53" s="29"/>
      <c r="BE53" s="29">
        <v>0</v>
      </c>
      <c r="BG53" s="29"/>
      <c r="BI53" s="29"/>
      <c r="BK53" s="29">
        <v>0</v>
      </c>
      <c r="BO53" s="29"/>
      <c r="BQ53" s="29"/>
      <c r="DC53" s="29"/>
      <c r="DD53" s="5"/>
      <c r="DE53" s="29"/>
      <c r="DF53" s="5"/>
      <c r="DG53" s="29"/>
      <c r="DH53" s="5"/>
      <c r="DI53" s="29"/>
      <c r="DJ53" s="5"/>
      <c r="DK53" s="29"/>
      <c r="DL53" s="5"/>
      <c r="DM53" s="29"/>
      <c r="DN53" s="5"/>
      <c r="DO53" s="29"/>
      <c r="DP53" s="5"/>
      <c r="DQ53" s="29"/>
      <c r="DR53" s="5"/>
      <c r="DS53" s="29"/>
      <c r="DT53" s="5"/>
      <c r="DU53" s="29"/>
      <c r="DV53" s="5"/>
      <c r="DW53" s="29"/>
      <c r="DX53" s="5"/>
      <c r="DY53" s="29"/>
      <c r="DZ53" s="5"/>
      <c r="EA53" s="29"/>
      <c r="EB53" s="5"/>
      <c r="EC53" s="29"/>
      <c r="ED53" s="5"/>
      <c r="EE53" s="29"/>
      <c r="EF53" s="5"/>
      <c r="EG53" s="29"/>
      <c r="EH53" s="5"/>
      <c r="EI53" s="29"/>
      <c r="EJ53" s="5"/>
      <c r="EK53" s="29"/>
      <c r="EL53" s="5"/>
      <c r="EM53" s="29"/>
      <c r="EN53" s="5"/>
      <c r="EO53" s="29"/>
      <c r="EP53" s="5"/>
      <c r="EQ53" s="29">
        <f t="shared" si="107"/>
        <v>0</v>
      </c>
      <c r="ER53" s="5"/>
      <c r="ES53" s="29">
        <f t="shared" si="108"/>
        <v>0</v>
      </c>
      <c r="ET53" s="5"/>
      <c r="EU53" s="29">
        <f t="shared" si="109"/>
        <v>0</v>
      </c>
      <c r="EV53" s="5"/>
      <c r="EW53" s="29"/>
      <c r="EX53" s="5"/>
      <c r="EY53" s="29">
        <f t="shared" si="111"/>
        <v>0</v>
      </c>
      <c r="EZ53" s="5"/>
      <c r="FA53" s="29">
        <f t="shared" si="111"/>
        <v>0</v>
      </c>
      <c r="FB53" s="5"/>
      <c r="FC53" s="29">
        <f t="shared" si="111"/>
        <v>0</v>
      </c>
      <c r="FD53" s="5"/>
      <c r="FE53" s="29"/>
      <c r="FF53" s="5"/>
      <c r="FG53" s="29">
        <v>0</v>
      </c>
      <c r="FH53" s="5"/>
      <c r="FI53" s="29">
        <f t="shared" si="113"/>
        <v>0</v>
      </c>
      <c r="FJ53" s="5"/>
      <c r="FK53" s="29">
        <f t="shared" si="114"/>
        <v>0</v>
      </c>
      <c r="FL53" s="5"/>
      <c r="FM53" s="29">
        <f t="shared" si="115"/>
        <v>0</v>
      </c>
      <c r="FN53" s="5"/>
      <c r="FO53" s="29">
        <f t="shared" si="116"/>
        <v>0</v>
      </c>
      <c r="FP53" s="5"/>
      <c r="FQ53" s="29">
        <f t="shared" si="117"/>
        <v>0</v>
      </c>
      <c r="FR53" s="5"/>
      <c r="FS53" s="29">
        <f t="shared" si="118"/>
        <v>0</v>
      </c>
      <c r="FT53" s="5"/>
      <c r="FU53" s="29">
        <f t="shared" si="119"/>
        <v>0</v>
      </c>
      <c r="FV53" s="5"/>
      <c r="FW53" s="29">
        <f t="shared" si="119"/>
        <v>0</v>
      </c>
      <c r="FX53" s="5"/>
      <c r="FY53" s="29">
        <f t="shared" si="119"/>
        <v>0</v>
      </c>
      <c r="FZ53" s="5"/>
      <c r="GA53" s="29">
        <f t="shared" si="120"/>
        <v>0</v>
      </c>
      <c r="GB53" s="5"/>
      <c r="GC53" s="29">
        <f t="shared" si="121"/>
        <v>0</v>
      </c>
      <c r="GD53" s="5"/>
      <c r="GE53" s="29">
        <f t="shared" si="121"/>
        <v>0</v>
      </c>
      <c r="GF53" s="5"/>
      <c r="GG53" s="29">
        <f t="shared" si="121"/>
        <v>0</v>
      </c>
      <c r="GH53" s="5"/>
      <c r="GI53" s="29">
        <f t="shared" si="122"/>
        <v>0</v>
      </c>
      <c r="GJ53" s="5"/>
      <c r="GK53" s="29">
        <f t="shared" si="123"/>
        <v>0</v>
      </c>
      <c r="GL53" s="5"/>
      <c r="GM53" s="29">
        <f t="shared" si="123"/>
        <v>0</v>
      </c>
      <c r="GN53" s="5"/>
      <c r="GO53" s="29">
        <f t="shared" si="124"/>
        <v>0</v>
      </c>
      <c r="GP53" s="5"/>
      <c r="GQ53" s="29">
        <f t="shared" si="125"/>
        <v>0</v>
      </c>
      <c r="GR53" s="5"/>
      <c r="GS53" s="29">
        <f t="shared" si="126"/>
        <v>0</v>
      </c>
      <c r="GT53" s="5"/>
      <c r="GU53" s="29">
        <f t="shared" si="126"/>
        <v>0</v>
      </c>
    </row>
    <row r="54" spans="1:203">
      <c r="A54" s="38" t="s">
        <v>129</v>
      </c>
      <c r="C54" s="29"/>
      <c r="E54" s="29"/>
      <c r="G54" s="29"/>
      <c r="I54" s="29">
        <v>0</v>
      </c>
      <c r="K54" s="29">
        <v>0</v>
      </c>
      <c r="M54" s="29">
        <v>0</v>
      </c>
      <c r="O54" s="29">
        <v>0</v>
      </c>
      <c r="Q54" s="29">
        <v>0</v>
      </c>
      <c r="S54" s="29">
        <v>0</v>
      </c>
      <c r="U54" s="29">
        <v>0</v>
      </c>
      <c r="W54" s="29">
        <v>0</v>
      </c>
      <c r="Y54" s="29">
        <v>0</v>
      </c>
      <c r="AA54" s="29">
        <v>0</v>
      </c>
      <c r="AC54" s="29">
        <v>0</v>
      </c>
      <c r="AE54" s="29">
        <v>0</v>
      </c>
      <c r="AG54" s="29">
        <v>0</v>
      </c>
      <c r="AI54" s="29">
        <v>0</v>
      </c>
      <c r="AK54" s="29">
        <v>0</v>
      </c>
      <c r="AM54" s="29">
        <v>0</v>
      </c>
      <c r="AO54" s="29">
        <v>0</v>
      </c>
      <c r="AQ54" s="29">
        <v>0</v>
      </c>
      <c r="AS54" s="29">
        <v>0</v>
      </c>
      <c r="AU54" s="29">
        <v>0</v>
      </c>
      <c r="AW54" s="29">
        <v>0</v>
      </c>
      <c r="AY54" s="29">
        <v>0</v>
      </c>
      <c r="BA54" s="29">
        <v>0</v>
      </c>
      <c r="BC54" s="29">
        <v>0</v>
      </c>
      <c r="BE54" s="29">
        <v>0</v>
      </c>
      <c r="BG54" s="29">
        <v>0</v>
      </c>
      <c r="BI54" s="29">
        <v>0</v>
      </c>
      <c r="BK54" s="29">
        <v>0</v>
      </c>
      <c r="BM54" s="29">
        <v>0</v>
      </c>
      <c r="BO54" s="29">
        <v>0</v>
      </c>
      <c r="BQ54" s="29">
        <v>0</v>
      </c>
      <c r="BS54" s="29">
        <v>0</v>
      </c>
      <c r="BU54" s="29">
        <v>0</v>
      </c>
      <c r="BW54" s="29">
        <v>0</v>
      </c>
      <c r="BY54" s="29">
        <v>0</v>
      </c>
      <c r="CA54" s="29">
        <v>0</v>
      </c>
      <c r="CC54" s="29">
        <v>0</v>
      </c>
      <c r="CE54" s="29">
        <v>0</v>
      </c>
      <c r="CG54" s="29">
        <v>0</v>
      </c>
      <c r="CI54" s="29">
        <v>0</v>
      </c>
      <c r="CK54" s="29">
        <v>0</v>
      </c>
      <c r="CM54" s="29">
        <v>0</v>
      </c>
      <c r="CO54" s="29">
        <v>0</v>
      </c>
      <c r="CQ54" s="29">
        <v>0</v>
      </c>
      <c r="CS54" s="29">
        <v>0</v>
      </c>
      <c r="CU54" s="29">
        <v>0</v>
      </c>
      <c r="CW54" s="29">
        <v>0</v>
      </c>
      <c r="CY54" s="29"/>
      <c r="DA54" s="29"/>
      <c r="DC54" s="29"/>
      <c r="DD54" s="5"/>
      <c r="DE54" s="29"/>
      <c r="DF54" s="5"/>
      <c r="DG54" s="29"/>
      <c r="DH54" s="5"/>
      <c r="DI54" s="29">
        <f t="shared" ref="DI54:DI60" si="127">I54</f>
        <v>0</v>
      </c>
      <c r="DJ54" s="5"/>
      <c r="DK54" s="29">
        <f t="shared" ref="DK54:DO60" si="128">K54-M54</f>
        <v>0</v>
      </c>
      <c r="DL54" s="5"/>
      <c r="DM54" s="29">
        <f t="shared" si="128"/>
        <v>0</v>
      </c>
      <c r="DN54" s="5"/>
      <c r="DO54" s="29">
        <f t="shared" si="128"/>
        <v>0</v>
      </c>
      <c r="DP54" s="5"/>
      <c r="DQ54" s="29">
        <f t="shared" ref="DQ54:DQ60" si="129">Q54</f>
        <v>0</v>
      </c>
      <c r="DR54" s="5"/>
      <c r="DS54" s="29">
        <f t="shared" ref="DS54:DW60" si="130">S54-U54</f>
        <v>0</v>
      </c>
      <c r="DT54" s="5"/>
      <c r="DU54" s="29">
        <f t="shared" si="130"/>
        <v>0</v>
      </c>
      <c r="DV54" s="5"/>
      <c r="DW54" s="29">
        <f t="shared" si="130"/>
        <v>0</v>
      </c>
      <c r="DX54" s="5"/>
      <c r="DY54" s="29">
        <f t="shared" ref="DY54:DY60" si="131">Y54</f>
        <v>0</v>
      </c>
      <c r="DZ54" s="5"/>
      <c r="EA54" s="29">
        <f t="shared" ref="EA54:EA60" si="132">AA54-AC54</f>
        <v>0</v>
      </c>
      <c r="EB54" s="5"/>
      <c r="EC54" s="29">
        <f t="shared" ref="EC54:EC60" si="133">AC54-AE54</f>
        <v>0</v>
      </c>
      <c r="ED54" s="5"/>
      <c r="EE54" s="29">
        <f t="shared" ref="EE54:EE60" si="134">AE54-AG54</f>
        <v>0</v>
      </c>
      <c r="EF54" s="5"/>
      <c r="EG54" s="29">
        <f t="shared" ref="EG54:EG60" si="135">AG54</f>
        <v>0</v>
      </c>
      <c r="EH54" s="5"/>
      <c r="EI54" s="29">
        <f t="shared" ref="EI54:EM60" si="136">AI54-AK54</f>
        <v>0</v>
      </c>
      <c r="EJ54" s="5"/>
      <c r="EK54" s="29">
        <f t="shared" si="136"/>
        <v>0</v>
      </c>
      <c r="EL54" s="5"/>
      <c r="EM54" s="29">
        <f t="shared" si="136"/>
        <v>0</v>
      </c>
      <c r="EN54" s="5"/>
      <c r="EO54" s="29">
        <f t="shared" ref="EO54:EO60" si="137">AO54</f>
        <v>0</v>
      </c>
      <c r="EP54" s="5"/>
      <c r="EQ54" s="29">
        <f t="shared" si="107"/>
        <v>0</v>
      </c>
      <c r="ER54" s="5"/>
      <c r="ES54" s="29">
        <f t="shared" si="108"/>
        <v>0</v>
      </c>
      <c r="ET54" s="5"/>
      <c r="EU54" s="29">
        <f t="shared" si="109"/>
        <v>0</v>
      </c>
      <c r="EV54" s="5"/>
      <c r="EW54" s="29">
        <f t="shared" ref="EW54:EW61" si="138">AW54</f>
        <v>0</v>
      </c>
      <c r="EX54" s="5"/>
      <c r="EY54" s="29">
        <f t="shared" si="111"/>
        <v>0</v>
      </c>
      <c r="EZ54" s="5"/>
      <c r="FA54" s="29">
        <f t="shared" si="111"/>
        <v>0</v>
      </c>
      <c r="FB54" s="5"/>
      <c r="FC54" s="29">
        <f t="shared" si="111"/>
        <v>0</v>
      </c>
      <c r="FD54" s="5"/>
      <c r="FE54" s="29">
        <f t="shared" ref="FE54:FE67" si="139">BE54</f>
        <v>0</v>
      </c>
      <c r="FF54" s="5"/>
      <c r="FG54" s="29">
        <v>0</v>
      </c>
      <c r="FH54" s="5"/>
      <c r="FI54" s="29">
        <f t="shared" si="113"/>
        <v>0</v>
      </c>
      <c r="FJ54" s="5"/>
      <c r="FK54" s="29">
        <f t="shared" si="114"/>
        <v>0</v>
      </c>
      <c r="FL54" s="5"/>
      <c r="FM54" s="29">
        <f t="shared" si="115"/>
        <v>0</v>
      </c>
      <c r="FN54" s="5"/>
      <c r="FO54" s="29">
        <f t="shared" si="116"/>
        <v>0</v>
      </c>
      <c r="FP54" s="5"/>
      <c r="FQ54" s="29">
        <f t="shared" si="117"/>
        <v>0</v>
      </c>
      <c r="FR54" s="5"/>
      <c r="FS54" s="29">
        <f t="shared" si="118"/>
        <v>0</v>
      </c>
      <c r="FT54" s="5"/>
      <c r="FU54" s="29">
        <f t="shared" si="119"/>
        <v>0</v>
      </c>
      <c r="FV54" s="5"/>
      <c r="FW54" s="29">
        <f t="shared" si="119"/>
        <v>0</v>
      </c>
      <c r="FX54" s="5"/>
      <c r="FY54" s="29">
        <f t="shared" si="119"/>
        <v>0</v>
      </c>
      <c r="FZ54" s="5"/>
      <c r="GA54" s="29">
        <f t="shared" si="120"/>
        <v>0</v>
      </c>
      <c r="GB54" s="5"/>
      <c r="GC54" s="29">
        <f t="shared" si="121"/>
        <v>0</v>
      </c>
      <c r="GD54" s="5"/>
      <c r="GE54" s="29">
        <f t="shared" si="121"/>
        <v>0</v>
      </c>
      <c r="GF54" s="5"/>
      <c r="GG54" s="29">
        <f t="shared" si="121"/>
        <v>0</v>
      </c>
      <c r="GH54" s="5"/>
      <c r="GI54" s="29">
        <f t="shared" si="122"/>
        <v>0</v>
      </c>
      <c r="GJ54" s="5"/>
      <c r="GK54" s="29">
        <f t="shared" si="123"/>
        <v>0</v>
      </c>
      <c r="GL54" s="5"/>
      <c r="GM54" s="29">
        <f t="shared" si="123"/>
        <v>0</v>
      </c>
      <c r="GN54" s="5"/>
      <c r="GO54" s="29">
        <f t="shared" si="124"/>
        <v>0</v>
      </c>
      <c r="GP54" s="5"/>
      <c r="GQ54" s="29">
        <f t="shared" si="125"/>
        <v>0</v>
      </c>
      <c r="GR54" s="5"/>
      <c r="GS54" s="29">
        <f t="shared" si="126"/>
        <v>0</v>
      </c>
      <c r="GT54" s="5"/>
      <c r="GU54" s="29">
        <f t="shared" si="126"/>
        <v>0</v>
      </c>
    </row>
    <row r="55" spans="1:203">
      <c r="A55" s="38" t="s">
        <v>130</v>
      </c>
      <c r="C55" s="29"/>
      <c r="E55" s="29"/>
      <c r="G55" s="29"/>
      <c r="I55" s="29">
        <v>0</v>
      </c>
      <c r="K55" s="29">
        <v>-25843260.870000049</v>
      </c>
      <c r="M55" s="29">
        <v>-25843260.870000012</v>
      </c>
      <c r="O55" s="29">
        <v>-25843260.870000001</v>
      </c>
      <c r="Q55" s="29">
        <v>0</v>
      </c>
      <c r="S55" s="29">
        <v>-5117477.3999999948</v>
      </c>
      <c r="U55" s="29">
        <v>-5117477.3999999631</v>
      </c>
      <c r="W55" s="29">
        <v>-5117477.4000000004</v>
      </c>
      <c r="Y55" s="29">
        <v>0</v>
      </c>
      <c r="AA55" s="29">
        <v>-3838108.05</v>
      </c>
      <c r="AC55" s="29">
        <v>-3838110</v>
      </c>
      <c r="AE55" s="29">
        <v>-3838108.0499999989</v>
      </c>
      <c r="AG55" s="29">
        <v>0</v>
      </c>
      <c r="AI55" s="29">
        <v>-3838108.05</v>
      </c>
      <c r="AK55" s="29">
        <v>-3838108.0500000026</v>
      </c>
      <c r="AM55" s="29">
        <v>-3838108.0500000026</v>
      </c>
      <c r="AO55" s="29">
        <v>0</v>
      </c>
      <c r="AQ55" s="29">
        <v>-3070486.44</v>
      </c>
      <c r="AS55" s="29">
        <v>-3070486.4400000102</v>
      </c>
      <c r="AU55" s="29">
        <v>-3070486.4400000134</v>
      </c>
      <c r="AW55" s="29">
        <v>0</v>
      </c>
      <c r="AY55" s="29">
        <v>0</v>
      </c>
      <c r="BA55" s="29">
        <v>0</v>
      </c>
      <c r="BC55" s="29">
        <v>0</v>
      </c>
      <c r="BE55" s="29">
        <v>0</v>
      </c>
      <c r="BG55" s="29">
        <v>0</v>
      </c>
      <c r="BI55" s="29">
        <v>0</v>
      </c>
      <c r="BK55" s="29">
        <v>0</v>
      </c>
      <c r="BM55" s="29">
        <v>0</v>
      </c>
      <c r="BO55" s="29">
        <v>0</v>
      </c>
      <c r="BQ55" s="29">
        <v>0</v>
      </c>
      <c r="BS55" s="29">
        <v>0</v>
      </c>
      <c r="BU55" s="29">
        <v>0</v>
      </c>
      <c r="BW55" s="29">
        <v>0</v>
      </c>
      <c r="BY55" s="29">
        <v>0</v>
      </c>
      <c r="CA55" s="29">
        <v>0</v>
      </c>
      <c r="CC55" s="29">
        <v>0</v>
      </c>
      <c r="CE55" s="29">
        <v>0</v>
      </c>
      <c r="CG55" s="29">
        <v>0</v>
      </c>
      <c r="CI55" s="29">
        <v>0</v>
      </c>
      <c r="CK55" s="29">
        <v>0</v>
      </c>
      <c r="CM55" s="29">
        <v>0</v>
      </c>
      <c r="CO55" s="29">
        <v>0</v>
      </c>
      <c r="CQ55" s="29">
        <v>0</v>
      </c>
      <c r="CS55" s="29">
        <v>0</v>
      </c>
      <c r="CU55" s="29">
        <v>0</v>
      </c>
      <c r="CW55" s="29">
        <v>0</v>
      </c>
      <c r="CY55" s="29"/>
      <c r="DA55" s="29"/>
      <c r="DC55" s="29"/>
      <c r="DD55" s="5"/>
      <c r="DE55" s="29"/>
      <c r="DF55" s="5"/>
      <c r="DG55" s="29"/>
      <c r="DH55" s="5"/>
      <c r="DI55" s="29">
        <f t="shared" si="127"/>
        <v>0</v>
      </c>
      <c r="DJ55" s="5"/>
      <c r="DK55" s="29">
        <f t="shared" si="128"/>
        <v>-3.7252902984619141E-8</v>
      </c>
      <c r="DL55" s="5"/>
      <c r="DM55" s="29">
        <f t="shared" si="128"/>
        <v>0</v>
      </c>
      <c r="DN55" s="5"/>
      <c r="DO55" s="29">
        <f t="shared" si="128"/>
        <v>-25843260.870000001</v>
      </c>
      <c r="DP55" s="5"/>
      <c r="DQ55" s="29">
        <f t="shared" si="129"/>
        <v>0</v>
      </c>
      <c r="DR55" s="5"/>
      <c r="DS55" s="29">
        <f t="shared" si="130"/>
        <v>-3.166496753692627E-8</v>
      </c>
      <c r="DT55" s="5"/>
      <c r="DU55" s="29">
        <f t="shared" si="130"/>
        <v>3.7252902984619141E-8</v>
      </c>
      <c r="DV55" s="5"/>
      <c r="DW55" s="29">
        <f t="shared" si="130"/>
        <v>-5117477.4000000004</v>
      </c>
      <c r="DX55" s="5"/>
      <c r="DY55" s="29">
        <f t="shared" si="131"/>
        <v>0</v>
      </c>
      <c r="DZ55" s="5"/>
      <c r="EA55" s="29">
        <f t="shared" si="132"/>
        <v>1.9500000001862645</v>
      </c>
      <c r="EB55" s="5"/>
      <c r="EC55" s="29">
        <f t="shared" si="133"/>
        <v>-1.9500000011175871</v>
      </c>
      <c r="ED55" s="5"/>
      <c r="EE55" s="29">
        <f t="shared" si="134"/>
        <v>-3838108.0499999989</v>
      </c>
      <c r="EF55" s="5"/>
      <c r="EG55" s="29">
        <f t="shared" si="135"/>
        <v>0</v>
      </c>
      <c r="EH55" s="5"/>
      <c r="EI55" s="29">
        <f t="shared" si="136"/>
        <v>0</v>
      </c>
      <c r="EJ55" s="5"/>
      <c r="EK55" s="29">
        <f t="shared" si="136"/>
        <v>0</v>
      </c>
      <c r="EL55" s="5"/>
      <c r="EM55" s="29">
        <f t="shared" si="136"/>
        <v>-3838108.0500000026</v>
      </c>
      <c r="EN55" s="5"/>
      <c r="EO55" s="29">
        <f t="shared" si="137"/>
        <v>0</v>
      </c>
      <c r="EP55" s="5"/>
      <c r="EQ55" s="29">
        <f t="shared" si="107"/>
        <v>1.0244548320770264E-8</v>
      </c>
      <c r="ER55" s="5"/>
      <c r="ES55" s="29">
        <f t="shared" si="108"/>
        <v>0</v>
      </c>
      <c r="ET55" s="5"/>
      <c r="EU55" s="29">
        <f t="shared" si="109"/>
        <v>-3070486.4400000134</v>
      </c>
      <c r="EV55" s="5"/>
      <c r="EW55" s="29">
        <f t="shared" si="138"/>
        <v>0</v>
      </c>
      <c r="EX55" s="5"/>
      <c r="EY55" s="29">
        <f t="shared" si="111"/>
        <v>0</v>
      </c>
      <c r="EZ55" s="5"/>
      <c r="FA55" s="29">
        <f t="shared" si="111"/>
        <v>0</v>
      </c>
      <c r="FB55" s="5"/>
      <c r="FC55" s="29">
        <f t="shared" si="111"/>
        <v>0</v>
      </c>
      <c r="FD55" s="5"/>
      <c r="FE55" s="29">
        <f t="shared" si="139"/>
        <v>0</v>
      </c>
      <c r="FF55" s="5"/>
      <c r="FG55" s="29">
        <v>0</v>
      </c>
      <c r="FH55" s="5"/>
      <c r="FI55" s="29">
        <f t="shared" si="113"/>
        <v>0</v>
      </c>
      <c r="FJ55" s="5"/>
      <c r="FK55" s="29">
        <f t="shared" si="114"/>
        <v>0</v>
      </c>
      <c r="FL55" s="5"/>
      <c r="FM55" s="29">
        <f t="shared" si="115"/>
        <v>0</v>
      </c>
      <c r="FN55" s="5"/>
      <c r="FO55" s="29">
        <f t="shared" si="116"/>
        <v>0</v>
      </c>
      <c r="FP55" s="5"/>
      <c r="FQ55" s="29">
        <f t="shared" si="117"/>
        <v>0</v>
      </c>
      <c r="FR55" s="5"/>
      <c r="FS55" s="29">
        <f t="shared" si="118"/>
        <v>0</v>
      </c>
      <c r="FT55" s="5"/>
      <c r="FU55" s="29">
        <f t="shared" si="119"/>
        <v>0</v>
      </c>
      <c r="FV55" s="5"/>
      <c r="FW55" s="29">
        <f t="shared" si="119"/>
        <v>0</v>
      </c>
      <c r="FX55" s="5"/>
      <c r="FY55" s="29">
        <f t="shared" si="119"/>
        <v>0</v>
      </c>
      <c r="FZ55" s="5"/>
      <c r="GA55" s="29">
        <f t="shared" si="120"/>
        <v>0</v>
      </c>
      <c r="GB55" s="5"/>
      <c r="GC55" s="29">
        <f t="shared" si="121"/>
        <v>0</v>
      </c>
      <c r="GD55" s="5"/>
      <c r="GE55" s="29">
        <f t="shared" si="121"/>
        <v>0</v>
      </c>
      <c r="GF55" s="5"/>
      <c r="GG55" s="29">
        <f t="shared" si="121"/>
        <v>0</v>
      </c>
      <c r="GH55" s="5"/>
      <c r="GI55" s="29">
        <f t="shared" si="122"/>
        <v>0</v>
      </c>
      <c r="GJ55" s="5"/>
      <c r="GK55" s="29">
        <f t="shared" si="123"/>
        <v>0</v>
      </c>
      <c r="GL55" s="5"/>
      <c r="GM55" s="29">
        <f t="shared" si="123"/>
        <v>0</v>
      </c>
      <c r="GN55" s="5"/>
      <c r="GO55" s="29">
        <f t="shared" si="124"/>
        <v>0</v>
      </c>
      <c r="GP55" s="5"/>
      <c r="GQ55" s="29">
        <f t="shared" si="125"/>
        <v>0</v>
      </c>
      <c r="GR55" s="5"/>
      <c r="GS55" s="29">
        <f t="shared" si="126"/>
        <v>0</v>
      </c>
      <c r="GT55" s="5"/>
      <c r="GU55" s="29">
        <f t="shared" si="126"/>
        <v>0</v>
      </c>
    </row>
    <row r="56" spans="1:203">
      <c r="A56" s="38" t="s">
        <v>131</v>
      </c>
      <c r="C56" s="29"/>
      <c r="E56" s="29"/>
      <c r="G56" s="29"/>
      <c r="I56" s="29">
        <v>0</v>
      </c>
      <c r="K56" s="29">
        <v>0</v>
      </c>
      <c r="M56" s="29">
        <v>0</v>
      </c>
      <c r="O56" s="29">
        <v>0</v>
      </c>
      <c r="Q56" s="29">
        <v>0</v>
      </c>
      <c r="S56" s="29">
        <v>-17361741.32</v>
      </c>
      <c r="U56" s="29">
        <v>-12795701.32</v>
      </c>
      <c r="W56" s="29">
        <v>-12795701.32</v>
      </c>
      <c r="Y56" s="29">
        <v>-12795701.32</v>
      </c>
      <c r="AA56" s="29">
        <v>0</v>
      </c>
      <c r="AC56" s="29">
        <v>0</v>
      </c>
      <c r="AE56" s="29">
        <v>0</v>
      </c>
      <c r="AG56" s="29">
        <v>0</v>
      </c>
      <c r="AI56" s="29">
        <v>0</v>
      </c>
      <c r="AK56" s="29">
        <v>0</v>
      </c>
      <c r="AM56" s="29">
        <v>0</v>
      </c>
      <c r="AO56" s="29">
        <v>0</v>
      </c>
      <c r="AQ56" s="29">
        <v>0</v>
      </c>
      <c r="AS56" s="29">
        <v>0</v>
      </c>
      <c r="AU56" s="29">
        <v>0</v>
      </c>
      <c r="AW56" s="29">
        <v>0</v>
      </c>
      <c r="AY56" s="29">
        <v>-818040.42</v>
      </c>
      <c r="BA56" s="29">
        <v>-818040.42</v>
      </c>
      <c r="BC56" s="29">
        <v>-818040.42</v>
      </c>
      <c r="BE56" s="29">
        <v>-465156.9</v>
      </c>
      <c r="BG56" s="29">
        <v>-7361085.1600000001</v>
      </c>
      <c r="BI56" s="29">
        <v>-5334571.17</v>
      </c>
      <c r="BK56" s="29">
        <v>-4993081.84</v>
      </c>
      <c r="BM56" s="29">
        <v>-4766888.22</v>
      </c>
      <c r="BO56" s="29">
        <v>-877593.27</v>
      </c>
      <c r="BQ56" s="29">
        <v>-546059.44999999995</v>
      </c>
      <c r="BS56" s="29">
        <v>-217787.27</v>
      </c>
      <c r="BU56" s="29">
        <v>-2966674.57</v>
      </c>
      <c r="BW56" s="29">
        <v>-2346008.7799999998</v>
      </c>
      <c r="BY56" s="29">
        <v>-1460172.54</v>
      </c>
      <c r="CA56" s="29">
        <v>-579409.1</v>
      </c>
      <c r="CC56" s="29">
        <v>-3379915.05</v>
      </c>
      <c r="CE56" s="29">
        <v>-2520523.58</v>
      </c>
      <c r="CG56" s="29">
        <v>-1388973.99</v>
      </c>
      <c r="CI56" s="29">
        <v>-518578.18</v>
      </c>
      <c r="CK56" s="29">
        <v>-2900609.88</v>
      </c>
      <c r="CM56" s="29">
        <v>-1771961.4100000001</v>
      </c>
      <c r="CO56" s="29">
        <v>-1022013.08</v>
      </c>
      <c r="CQ56" s="29">
        <v>-331760.45</v>
      </c>
      <c r="CS56" s="29">
        <v>-2049339.05</v>
      </c>
      <c r="CU56" s="29">
        <v>-1397554.19</v>
      </c>
      <c r="CW56" s="29">
        <v>-918320.98</v>
      </c>
      <c r="CY56" s="29"/>
      <c r="DA56" s="29"/>
      <c r="DC56" s="29"/>
      <c r="DD56" s="5"/>
      <c r="DE56" s="29"/>
      <c r="DF56" s="5"/>
      <c r="DG56" s="29"/>
      <c r="DH56" s="5"/>
      <c r="DI56" s="29">
        <f t="shared" si="127"/>
        <v>0</v>
      </c>
      <c r="DJ56" s="5"/>
      <c r="DK56" s="29">
        <f t="shared" si="128"/>
        <v>0</v>
      </c>
      <c r="DL56" s="5"/>
      <c r="DM56" s="29">
        <f t="shared" si="128"/>
        <v>0</v>
      </c>
      <c r="DN56" s="5"/>
      <c r="DO56" s="29">
        <f t="shared" si="128"/>
        <v>0</v>
      </c>
      <c r="DP56" s="5"/>
      <c r="DQ56" s="29">
        <f t="shared" si="129"/>
        <v>0</v>
      </c>
      <c r="DR56" s="5"/>
      <c r="DS56" s="29">
        <f t="shared" si="130"/>
        <v>-4566040</v>
      </c>
      <c r="DT56" s="5"/>
      <c r="DU56" s="29">
        <f t="shared" si="130"/>
        <v>0</v>
      </c>
      <c r="DV56" s="5"/>
      <c r="DW56" s="29">
        <f t="shared" si="130"/>
        <v>0</v>
      </c>
      <c r="DX56" s="5"/>
      <c r="DY56" s="29">
        <f t="shared" si="131"/>
        <v>-12795701.32</v>
      </c>
      <c r="DZ56" s="5"/>
      <c r="EA56" s="29">
        <f t="shared" si="132"/>
        <v>0</v>
      </c>
      <c r="EB56" s="5"/>
      <c r="EC56" s="29">
        <f t="shared" si="133"/>
        <v>0</v>
      </c>
      <c r="ED56" s="5"/>
      <c r="EE56" s="29">
        <f t="shared" si="134"/>
        <v>0</v>
      </c>
      <c r="EF56" s="5"/>
      <c r="EG56" s="29">
        <f t="shared" si="135"/>
        <v>0</v>
      </c>
      <c r="EH56" s="5"/>
      <c r="EI56" s="29">
        <f t="shared" si="136"/>
        <v>0</v>
      </c>
      <c r="EJ56" s="5"/>
      <c r="EK56" s="29">
        <f t="shared" si="136"/>
        <v>0</v>
      </c>
      <c r="EL56" s="5"/>
      <c r="EM56" s="29">
        <f t="shared" si="136"/>
        <v>0</v>
      </c>
      <c r="EN56" s="5"/>
      <c r="EO56" s="29">
        <f t="shared" si="137"/>
        <v>0</v>
      </c>
      <c r="EP56" s="5"/>
      <c r="EQ56" s="29">
        <f t="shared" si="107"/>
        <v>0</v>
      </c>
      <c r="ER56" s="5"/>
      <c r="ES56" s="29">
        <f t="shared" si="108"/>
        <v>0</v>
      </c>
      <c r="ET56" s="5"/>
      <c r="EU56" s="29">
        <f t="shared" si="109"/>
        <v>0</v>
      </c>
      <c r="EV56" s="5"/>
      <c r="EW56" s="29">
        <f t="shared" si="138"/>
        <v>0</v>
      </c>
      <c r="EX56" s="5"/>
      <c r="EY56" s="29">
        <f t="shared" si="111"/>
        <v>0</v>
      </c>
      <c r="EZ56" s="5"/>
      <c r="FA56" s="29">
        <f t="shared" si="111"/>
        <v>0</v>
      </c>
      <c r="FB56" s="5"/>
      <c r="FC56" s="29">
        <f t="shared" si="111"/>
        <v>-352883.52</v>
      </c>
      <c r="FD56" s="5"/>
      <c r="FE56" s="29">
        <f t="shared" si="139"/>
        <v>-465156.9</v>
      </c>
      <c r="FF56" s="5"/>
      <c r="FG56" s="29">
        <v>-2276783.63</v>
      </c>
      <c r="FH56" s="5"/>
      <c r="FI56" s="29">
        <f t="shared" si="113"/>
        <v>-341489.33000000007</v>
      </c>
      <c r="FJ56" s="5"/>
      <c r="FK56" s="29">
        <f t="shared" si="114"/>
        <v>-226193.62000000011</v>
      </c>
      <c r="FL56" s="5"/>
      <c r="FM56" s="29">
        <f t="shared" si="115"/>
        <v>-3889294.9499999997</v>
      </c>
      <c r="FN56" s="5"/>
      <c r="FO56" s="29">
        <f t="shared" si="116"/>
        <v>-331533.82000000007</v>
      </c>
      <c r="FP56" s="5"/>
      <c r="FQ56" s="29">
        <f t="shared" si="117"/>
        <v>-328272.17999999993</v>
      </c>
      <c r="FR56" s="5"/>
      <c r="FS56" s="29">
        <f t="shared" si="118"/>
        <v>-217787.27</v>
      </c>
      <c r="FT56" s="5"/>
      <c r="FU56" s="29">
        <f t="shared" si="119"/>
        <v>-620665.79</v>
      </c>
      <c r="FV56" s="5"/>
      <c r="FW56" s="29">
        <f t="shared" si="119"/>
        <v>-885836.23999999976</v>
      </c>
      <c r="FX56" s="5"/>
      <c r="FY56" s="29">
        <f t="shared" si="119"/>
        <v>-880763.44000000006</v>
      </c>
      <c r="FZ56" s="5"/>
      <c r="GA56" s="29">
        <f t="shared" si="120"/>
        <v>-579409.1</v>
      </c>
      <c r="GB56" s="5"/>
      <c r="GC56" s="29">
        <f t="shared" si="121"/>
        <v>-859391.46999999974</v>
      </c>
      <c r="GD56" s="5"/>
      <c r="GE56" s="29">
        <f t="shared" si="121"/>
        <v>-1131549.5900000001</v>
      </c>
      <c r="GF56" s="5"/>
      <c r="GG56" s="29">
        <f t="shared" si="121"/>
        <v>-870395.81</v>
      </c>
      <c r="GH56" s="5"/>
      <c r="GI56" s="29">
        <f t="shared" si="122"/>
        <v>-518578.18</v>
      </c>
      <c r="GJ56" s="5"/>
      <c r="GK56" s="29">
        <f t="shared" si="123"/>
        <v>-1128648.4699999997</v>
      </c>
      <c r="GL56" s="5"/>
      <c r="GM56" s="29">
        <f t="shared" si="123"/>
        <v>-749948.33000000019</v>
      </c>
      <c r="GN56" s="5"/>
      <c r="GO56" s="29">
        <f t="shared" si="124"/>
        <v>-690252.62999999989</v>
      </c>
      <c r="GP56" s="5"/>
      <c r="GQ56" s="29">
        <f t="shared" si="125"/>
        <v>-331760.45</v>
      </c>
      <c r="GR56" s="5"/>
      <c r="GS56" s="29">
        <f t="shared" si="126"/>
        <v>-651784.8600000001</v>
      </c>
      <c r="GT56" s="5"/>
      <c r="GU56" s="29">
        <f t="shared" si="126"/>
        <v>-479233.20999999996</v>
      </c>
    </row>
    <row r="57" spans="1:203">
      <c r="A57" s="38" t="s">
        <v>132</v>
      </c>
      <c r="C57" s="29"/>
      <c r="E57" s="29"/>
      <c r="G57" s="29"/>
      <c r="I57" s="29">
        <v>0</v>
      </c>
      <c r="K57" s="29">
        <v>0</v>
      </c>
      <c r="M57" s="29">
        <v>0</v>
      </c>
      <c r="O57" s="29">
        <v>0</v>
      </c>
      <c r="Q57" s="29">
        <v>0</v>
      </c>
      <c r="S57" s="29">
        <v>0</v>
      </c>
      <c r="U57" s="29">
        <v>0</v>
      </c>
      <c r="W57" s="29">
        <v>0</v>
      </c>
      <c r="Y57" s="29">
        <v>0</v>
      </c>
      <c r="AA57" s="29">
        <v>0</v>
      </c>
      <c r="AC57" s="29">
        <v>0</v>
      </c>
      <c r="AE57" s="29">
        <v>0</v>
      </c>
      <c r="AG57" s="29">
        <v>0</v>
      </c>
      <c r="AI57" s="29">
        <v>0</v>
      </c>
      <c r="AK57" s="29">
        <v>0</v>
      </c>
      <c r="AM57" s="29">
        <v>0</v>
      </c>
      <c r="AO57" s="29">
        <v>0</v>
      </c>
      <c r="AQ57" s="29">
        <v>0</v>
      </c>
      <c r="AS57" s="29">
        <v>0</v>
      </c>
      <c r="AU57" s="29">
        <v>0</v>
      </c>
      <c r="AW57" s="29">
        <v>0</v>
      </c>
      <c r="AY57" s="29">
        <v>0</v>
      </c>
      <c r="BA57" s="29">
        <v>0</v>
      </c>
      <c r="BC57" s="29">
        <v>0</v>
      </c>
      <c r="BE57" s="29">
        <v>0</v>
      </c>
      <c r="BG57" s="29">
        <v>0</v>
      </c>
      <c r="BI57" s="29">
        <v>0</v>
      </c>
      <c r="BK57" s="29">
        <v>0</v>
      </c>
      <c r="BM57" s="29">
        <v>0</v>
      </c>
      <c r="BO57" s="29">
        <v>0</v>
      </c>
      <c r="BQ57" s="29">
        <v>0</v>
      </c>
      <c r="BS57" s="29">
        <v>0</v>
      </c>
      <c r="BU57" s="29">
        <v>0</v>
      </c>
      <c r="BW57" s="29">
        <v>0</v>
      </c>
      <c r="BY57" s="29">
        <v>0</v>
      </c>
      <c r="CA57" s="29">
        <v>0</v>
      </c>
      <c r="CC57" s="29">
        <v>0</v>
      </c>
      <c r="CE57" s="29">
        <v>0</v>
      </c>
      <c r="CG57" s="29">
        <v>0</v>
      </c>
      <c r="CI57" s="29">
        <v>0</v>
      </c>
      <c r="CK57" s="29">
        <v>0</v>
      </c>
      <c r="CM57" s="29">
        <v>0</v>
      </c>
      <c r="CO57" s="29">
        <v>0</v>
      </c>
      <c r="CQ57" s="29">
        <v>0</v>
      </c>
      <c r="CS57" s="29">
        <v>0</v>
      </c>
      <c r="CU57" s="29">
        <v>0</v>
      </c>
      <c r="CW57" s="29">
        <v>0</v>
      </c>
      <c r="CY57" s="29"/>
      <c r="DA57" s="29"/>
      <c r="DC57" s="29"/>
      <c r="DD57" s="5"/>
      <c r="DE57" s="29"/>
      <c r="DF57" s="5"/>
      <c r="DG57" s="29"/>
      <c r="DH57" s="5"/>
      <c r="DI57" s="29">
        <f t="shared" si="127"/>
        <v>0</v>
      </c>
      <c r="DJ57" s="5"/>
      <c r="DK57" s="29">
        <f t="shared" si="128"/>
        <v>0</v>
      </c>
      <c r="DL57" s="5"/>
      <c r="DM57" s="29">
        <f t="shared" si="128"/>
        <v>0</v>
      </c>
      <c r="DN57" s="5"/>
      <c r="DO57" s="29">
        <f t="shared" si="128"/>
        <v>0</v>
      </c>
      <c r="DP57" s="5"/>
      <c r="DQ57" s="29">
        <f t="shared" si="129"/>
        <v>0</v>
      </c>
      <c r="DR57" s="5"/>
      <c r="DS57" s="29">
        <f t="shared" si="130"/>
        <v>0</v>
      </c>
      <c r="DT57" s="5"/>
      <c r="DU57" s="29">
        <f t="shared" si="130"/>
        <v>0</v>
      </c>
      <c r="DV57" s="5"/>
      <c r="DW57" s="29">
        <f t="shared" si="130"/>
        <v>0</v>
      </c>
      <c r="DX57" s="5"/>
      <c r="DY57" s="29">
        <f t="shared" si="131"/>
        <v>0</v>
      </c>
      <c r="DZ57" s="5"/>
      <c r="EA57" s="29">
        <f t="shared" si="132"/>
        <v>0</v>
      </c>
      <c r="EB57" s="5"/>
      <c r="EC57" s="29">
        <f t="shared" si="133"/>
        <v>0</v>
      </c>
      <c r="ED57" s="5"/>
      <c r="EE57" s="29">
        <f t="shared" si="134"/>
        <v>0</v>
      </c>
      <c r="EF57" s="5"/>
      <c r="EG57" s="29">
        <f t="shared" si="135"/>
        <v>0</v>
      </c>
      <c r="EH57" s="5"/>
      <c r="EI57" s="29">
        <f t="shared" si="136"/>
        <v>0</v>
      </c>
      <c r="EJ57" s="5"/>
      <c r="EK57" s="29">
        <f t="shared" si="136"/>
        <v>0</v>
      </c>
      <c r="EL57" s="5"/>
      <c r="EM57" s="29">
        <f t="shared" si="136"/>
        <v>0</v>
      </c>
      <c r="EN57" s="5"/>
      <c r="EO57" s="29">
        <f t="shared" si="137"/>
        <v>0</v>
      </c>
      <c r="EP57" s="5"/>
      <c r="EQ57" s="29">
        <f t="shared" si="107"/>
        <v>0</v>
      </c>
      <c r="ER57" s="5"/>
      <c r="ES57" s="29">
        <f t="shared" si="108"/>
        <v>0</v>
      </c>
      <c r="ET57" s="5"/>
      <c r="EU57" s="29">
        <f t="shared" si="109"/>
        <v>0</v>
      </c>
      <c r="EV57" s="5"/>
      <c r="EW57" s="29">
        <f t="shared" si="138"/>
        <v>0</v>
      </c>
      <c r="EX57" s="5"/>
      <c r="EY57" s="29">
        <f t="shared" si="111"/>
        <v>0</v>
      </c>
      <c r="EZ57" s="5"/>
      <c r="FA57" s="29">
        <f t="shared" si="111"/>
        <v>0</v>
      </c>
      <c r="FB57" s="5"/>
      <c r="FC57" s="29">
        <f t="shared" si="111"/>
        <v>0</v>
      </c>
      <c r="FD57" s="5"/>
      <c r="FE57" s="29">
        <f t="shared" si="139"/>
        <v>0</v>
      </c>
      <c r="FF57" s="5"/>
      <c r="FG57" s="29">
        <v>0</v>
      </c>
      <c r="FH57" s="5"/>
      <c r="FI57" s="29">
        <f t="shared" si="113"/>
        <v>0</v>
      </c>
      <c r="FJ57" s="5"/>
      <c r="FK57" s="29">
        <f t="shared" si="114"/>
        <v>0</v>
      </c>
      <c r="FL57" s="5"/>
      <c r="FM57" s="29">
        <f t="shared" si="115"/>
        <v>0</v>
      </c>
      <c r="FN57" s="5"/>
      <c r="FO57" s="29">
        <f t="shared" si="116"/>
        <v>0</v>
      </c>
      <c r="FP57" s="5"/>
      <c r="FQ57" s="29">
        <f t="shared" si="117"/>
        <v>0</v>
      </c>
      <c r="FR57" s="5"/>
      <c r="FS57" s="29">
        <f t="shared" si="118"/>
        <v>0</v>
      </c>
      <c r="FT57" s="5"/>
      <c r="FU57" s="29">
        <f t="shared" si="119"/>
        <v>0</v>
      </c>
      <c r="FV57" s="5"/>
      <c r="FW57" s="29">
        <f t="shared" si="119"/>
        <v>0</v>
      </c>
      <c r="FX57" s="5"/>
      <c r="FY57" s="29">
        <f t="shared" si="119"/>
        <v>0</v>
      </c>
      <c r="FZ57" s="5"/>
      <c r="GA57" s="29">
        <f t="shared" si="120"/>
        <v>0</v>
      </c>
      <c r="GB57" s="5"/>
      <c r="GC57" s="29">
        <f t="shared" si="121"/>
        <v>0</v>
      </c>
      <c r="GD57" s="5"/>
      <c r="GE57" s="29">
        <f t="shared" si="121"/>
        <v>0</v>
      </c>
      <c r="GF57" s="5"/>
      <c r="GG57" s="29">
        <f t="shared" si="121"/>
        <v>0</v>
      </c>
      <c r="GH57" s="5"/>
      <c r="GI57" s="29">
        <f t="shared" si="122"/>
        <v>0</v>
      </c>
      <c r="GJ57" s="5"/>
      <c r="GK57" s="29">
        <f t="shared" si="123"/>
        <v>0</v>
      </c>
      <c r="GL57" s="5"/>
      <c r="GM57" s="29">
        <f t="shared" si="123"/>
        <v>0</v>
      </c>
      <c r="GN57" s="5"/>
      <c r="GO57" s="29">
        <f t="shared" si="124"/>
        <v>0</v>
      </c>
      <c r="GP57" s="5"/>
      <c r="GQ57" s="29">
        <f t="shared" si="125"/>
        <v>0</v>
      </c>
      <c r="GR57" s="5"/>
      <c r="GS57" s="29">
        <f t="shared" si="126"/>
        <v>0</v>
      </c>
      <c r="GT57" s="5"/>
      <c r="GU57" s="29">
        <f t="shared" si="126"/>
        <v>0</v>
      </c>
    </row>
    <row r="58" spans="1:203">
      <c r="A58" s="38" t="s">
        <v>283</v>
      </c>
      <c r="C58" s="29"/>
      <c r="E58" s="29"/>
      <c r="G58" s="29"/>
      <c r="I58" s="29">
        <v>-1004125.18</v>
      </c>
      <c r="K58" s="29">
        <v>-3651971.3399999957</v>
      </c>
      <c r="M58" s="29">
        <v>-2430147.38</v>
      </c>
      <c r="O58" s="29">
        <v>-1578857.1200000076</v>
      </c>
      <c r="Q58" s="29">
        <v>-742700.96</v>
      </c>
      <c r="S58" s="29">
        <v>-3312211.43</v>
      </c>
      <c r="U58" s="29">
        <v>-2542989.2600000002</v>
      </c>
      <c r="W58" s="29">
        <v>-1075685.5700000073</v>
      </c>
      <c r="Y58" s="29">
        <v>-558623.12</v>
      </c>
      <c r="AA58" s="29">
        <v>-6025158.1199999992</v>
      </c>
      <c r="AC58" s="29">
        <v>-2619741.61</v>
      </c>
      <c r="AE58" s="29">
        <v>-1860012.9200000074</v>
      </c>
      <c r="AG58" s="29">
        <v>-595413.78</v>
      </c>
      <c r="AI58" s="29">
        <v>-2393969.7800000003</v>
      </c>
      <c r="AK58" s="29">
        <v>-1819096.7600000002</v>
      </c>
      <c r="AM58" s="29">
        <v>-1191910.0900000075</v>
      </c>
      <c r="AO58" s="29">
        <v>-608078.04</v>
      </c>
      <c r="AQ58" s="29">
        <v>-1921003.51</v>
      </c>
      <c r="AS58" s="29">
        <v>-839642.54</v>
      </c>
      <c r="AU58" s="29">
        <v>-458736.96000000747</v>
      </c>
      <c r="AW58" s="29">
        <v>-228799.98000002097</v>
      </c>
      <c r="AY58" s="29">
        <v>-483717.35000000003</v>
      </c>
      <c r="BA58" s="29">
        <v>-334809.00000002101</v>
      </c>
      <c r="BC58" s="29">
        <v>-182258.5</v>
      </c>
      <c r="BE58" s="29">
        <v>-81863.789999999994</v>
      </c>
      <c r="BG58" s="29">
        <v>-862535.63</v>
      </c>
      <c r="BI58" s="29">
        <v>-778212.86</v>
      </c>
      <c r="BK58" s="29">
        <v>-670389.64</v>
      </c>
      <c r="BM58" s="29">
        <v>-581383.41</v>
      </c>
      <c r="BO58" s="29">
        <v>-456212.34</v>
      </c>
      <c r="BQ58" s="29">
        <v>-328502.62</v>
      </c>
      <c r="BS58" s="29">
        <v>-197169.97</v>
      </c>
      <c r="BU58" s="29">
        <v>-1063613.77</v>
      </c>
      <c r="BW58" s="29">
        <v>-812317.83</v>
      </c>
      <c r="BY58" s="29">
        <v>-544731.91</v>
      </c>
      <c r="CA58" s="29">
        <v>-277669.87</v>
      </c>
      <c r="CC58" s="29">
        <v>-1310761.6786973472</v>
      </c>
      <c r="CE58" s="29">
        <v>-878824.3786973469</v>
      </c>
      <c r="CG58" s="29">
        <v>-606745.76869734703</v>
      </c>
      <c r="CI58" s="29">
        <v>-323127.45</v>
      </c>
      <c r="CK58" s="29">
        <v>-1288167.1399999999</v>
      </c>
      <c r="CM58" s="29">
        <v>-945566.26067990717</v>
      </c>
      <c r="CO58" s="29">
        <v>-651959.75000000012</v>
      </c>
      <c r="CQ58" s="29">
        <v>-244969.82000000027</v>
      </c>
      <c r="CS58" s="29">
        <v>-878229.08</v>
      </c>
      <c r="CU58" s="29">
        <v>-573067.73</v>
      </c>
      <c r="CW58" s="29">
        <v>-407966.41000000003</v>
      </c>
      <c r="CY58" s="29"/>
      <c r="DA58" s="29"/>
      <c r="DC58" s="29"/>
      <c r="DD58" s="5"/>
      <c r="DE58" s="29"/>
      <c r="DF58" s="5"/>
      <c r="DG58" s="29"/>
      <c r="DH58" s="5"/>
      <c r="DI58" s="29">
        <f t="shared" si="127"/>
        <v>-1004125.18</v>
      </c>
      <c r="DJ58" s="5"/>
      <c r="DK58" s="29">
        <f t="shared" si="128"/>
        <v>-1221823.9599999958</v>
      </c>
      <c r="DL58" s="5"/>
      <c r="DM58" s="29">
        <f t="shared" si="128"/>
        <v>-851290.25999999233</v>
      </c>
      <c r="DN58" s="5"/>
      <c r="DO58" s="29">
        <f t="shared" si="128"/>
        <v>-836156.1600000076</v>
      </c>
      <c r="DP58" s="5"/>
      <c r="DQ58" s="29">
        <f t="shared" si="129"/>
        <v>-742700.96</v>
      </c>
      <c r="DR58" s="5"/>
      <c r="DS58" s="29">
        <f t="shared" si="130"/>
        <v>-769222.16999999993</v>
      </c>
      <c r="DT58" s="5"/>
      <c r="DU58" s="29">
        <f t="shared" si="130"/>
        <v>-1467303.689999993</v>
      </c>
      <c r="DV58" s="5"/>
      <c r="DW58" s="29">
        <f t="shared" si="130"/>
        <v>-517062.45000000729</v>
      </c>
      <c r="DX58" s="5"/>
      <c r="DY58" s="29">
        <f t="shared" si="131"/>
        <v>-558623.12</v>
      </c>
      <c r="DZ58" s="5"/>
      <c r="EA58" s="29">
        <f t="shared" si="132"/>
        <v>-3405416.5099999993</v>
      </c>
      <c r="EB58" s="5"/>
      <c r="EC58" s="29">
        <f t="shared" si="133"/>
        <v>-759728.68999999249</v>
      </c>
      <c r="ED58" s="5"/>
      <c r="EE58" s="29">
        <f t="shared" si="134"/>
        <v>-1264599.1400000073</v>
      </c>
      <c r="EF58" s="5"/>
      <c r="EG58" s="29">
        <f t="shared" si="135"/>
        <v>-595413.78</v>
      </c>
      <c r="EH58" s="5"/>
      <c r="EI58" s="29">
        <f t="shared" si="136"/>
        <v>-574873.02</v>
      </c>
      <c r="EJ58" s="5"/>
      <c r="EK58" s="29">
        <f t="shared" si="136"/>
        <v>-627186.66999999271</v>
      </c>
      <c r="EL58" s="5"/>
      <c r="EM58" s="29">
        <f t="shared" si="136"/>
        <v>-583832.0500000075</v>
      </c>
      <c r="EN58" s="5"/>
      <c r="EO58" s="29">
        <f t="shared" si="137"/>
        <v>-608078.04</v>
      </c>
      <c r="EP58" s="5"/>
      <c r="EQ58" s="29">
        <f t="shared" si="107"/>
        <v>-1081360.97</v>
      </c>
      <c r="ER58" s="5"/>
      <c r="ES58" s="29">
        <f t="shared" si="108"/>
        <v>-380905.57999999257</v>
      </c>
      <c r="ET58" s="5"/>
      <c r="EU58" s="29">
        <f t="shared" si="109"/>
        <v>-229936.97999998651</v>
      </c>
      <c r="EV58" s="5"/>
      <c r="EW58" s="29">
        <f t="shared" si="138"/>
        <v>-228799.98000002097</v>
      </c>
      <c r="EX58" s="5"/>
      <c r="EY58" s="29">
        <f t="shared" si="111"/>
        <v>-148908.34999997902</v>
      </c>
      <c r="EZ58" s="5"/>
      <c r="FA58" s="29">
        <f t="shared" si="111"/>
        <v>-152550.50000002101</v>
      </c>
      <c r="FB58" s="5"/>
      <c r="FC58" s="29">
        <f t="shared" si="111"/>
        <v>-100394.71</v>
      </c>
      <c r="FD58" s="5"/>
      <c r="FE58" s="29">
        <f t="shared" si="139"/>
        <v>-81863.789999999994</v>
      </c>
      <c r="FF58" s="5"/>
      <c r="FG58" s="29">
        <v>-285400.90999999997</v>
      </c>
      <c r="FH58" s="5"/>
      <c r="FI58" s="29">
        <f t="shared" si="113"/>
        <v>-107823.21999999997</v>
      </c>
      <c r="FJ58" s="5"/>
      <c r="FK58" s="29">
        <f t="shared" si="114"/>
        <v>-89006.229999999981</v>
      </c>
      <c r="FL58" s="5"/>
      <c r="FM58" s="29">
        <f t="shared" si="115"/>
        <v>-125171.07</v>
      </c>
      <c r="FN58" s="5"/>
      <c r="FO58" s="29">
        <f t="shared" si="116"/>
        <v>-127709.72000000003</v>
      </c>
      <c r="FP58" s="5"/>
      <c r="FQ58" s="29">
        <f t="shared" si="117"/>
        <v>-131332.65</v>
      </c>
      <c r="FR58" s="5"/>
      <c r="FS58" s="29">
        <f t="shared" si="118"/>
        <v>-197169.97</v>
      </c>
      <c r="FT58" s="5"/>
      <c r="FU58" s="29">
        <f t="shared" si="119"/>
        <v>-251295.94000000006</v>
      </c>
      <c r="FV58" s="5"/>
      <c r="FW58" s="29">
        <f t="shared" si="119"/>
        <v>-267585.91999999993</v>
      </c>
      <c r="FX58" s="5"/>
      <c r="FY58" s="29">
        <f t="shared" si="119"/>
        <v>-267062.04000000004</v>
      </c>
      <c r="FZ58" s="5"/>
      <c r="GA58" s="29">
        <f t="shared" si="120"/>
        <v>-277669.87</v>
      </c>
      <c r="GB58" s="5"/>
      <c r="GC58" s="29">
        <f t="shared" si="121"/>
        <v>-431937.30000000028</v>
      </c>
      <c r="GD58" s="5"/>
      <c r="GE58" s="29">
        <f t="shared" si="121"/>
        <v>-272078.60999999987</v>
      </c>
      <c r="GF58" s="5"/>
      <c r="GG58" s="29">
        <f t="shared" si="121"/>
        <v>-283618.31869734701</v>
      </c>
      <c r="GH58" s="5"/>
      <c r="GI58" s="29">
        <f t="shared" si="122"/>
        <v>-323127.45</v>
      </c>
      <c r="GJ58" s="5"/>
      <c r="GK58" s="29">
        <f t="shared" si="123"/>
        <v>-342600.87932009273</v>
      </c>
      <c r="GL58" s="5"/>
      <c r="GM58" s="29">
        <f t="shared" si="123"/>
        <v>-293606.51067990705</v>
      </c>
      <c r="GN58" s="5"/>
      <c r="GO58" s="29">
        <f t="shared" si="124"/>
        <v>-406989.92999999982</v>
      </c>
      <c r="GP58" s="5"/>
      <c r="GQ58" s="29">
        <f t="shared" si="125"/>
        <v>-244969.82000000027</v>
      </c>
      <c r="GR58" s="5"/>
      <c r="GS58" s="29">
        <f t="shared" si="126"/>
        <v>-305161.34999999998</v>
      </c>
      <c r="GT58" s="5"/>
      <c r="GU58" s="29">
        <f t="shared" si="126"/>
        <v>-165101.31999999995</v>
      </c>
    </row>
    <row r="59" spans="1:203">
      <c r="A59" s="38" t="s">
        <v>93</v>
      </c>
      <c r="C59" s="29"/>
      <c r="E59" s="29"/>
      <c r="G59" s="29"/>
      <c r="I59" s="29">
        <v>-356094.67</v>
      </c>
      <c r="K59" s="29">
        <v>-1041538.73</v>
      </c>
      <c r="M59" s="29">
        <v>-744986.02</v>
      </c>
      <c r="O59" s="29">
        <v>-487760.94</v>
      </c>
      <c r="Q59" s="29">
        <v>-298149.77</v>
      </c>
      <c r="S59" s="29">
        <v>-1140125.75</v>
      </c>
      <c r="U59" s="29">
        <v>-728433.29</v>
      </c>
      <c r="W59" s="29">
        <v>-473877.02</v>
      </c>
      <c r="Y59" s="29">
        <v>-338738.97</v>
      </c>
      <c r="AA59" s="29">
        <v>-850009.03</v>
      </c>
      <c r="AC59" s="29">
        <v>-521815.24</v>
      </c>
      <c r="AE59" s="29">
        <v>-205598.17</v>
      </c>
      <c r="AG59" s="29">
        <v>-59828.43</v>
      </c>
      <c r="AI59" s="29">
        <v>-181142.71</v>
      </c>
      <c r="AK59" s="29">
        <v>-104592.24</v>
      </c>
      <c r="AM59" s="29">
        <v>-87778.17</v>
      </c>
      <c r="AO59" s="29">
        <v>-51121.36</v>
      </c>
      <c r="AQ59" s="29">
        <v>-119384.79</v>
      </c>
      <c r="AS59" s="29">
        <v>-87193.54</v>
      </c>
      <c r="AU59" s="29">
        <v>-48745.23</v>
      </c>
      <c r="AW59" s="29">
        <v>-21000</v>
      </c>
      <c r="AY59" s="29">
        <v>-68217.58</v>
      </c>
      <c r="BA59" s="29">
        <v>-53781.65</v>
      </c>
      <c r="BC59" s="29">
        <v>-20846.329999999998</v>
      </c>
      <c r="BE59" s="29">
        <v>-28234.82</v>
      </c>
      <c r="BG59" s="29">
        <v>-356091.11</v>
      </c>
      <c r="BI59" s="29">
        <v>-223757.16000000003</v>
      </c>
      <c r="BK59" s="29">
        <v>-196630.1699999891</v>
      </c>
      <c r="BM59" s="29">
        <v>-182480.74</v>
      </c>
      <c r="BO59" s="29">
        <v>-135255.72999999998</v>
      </c>
      <c r="BQ59" s="29">
        <v>-75742.559999999998</v>
      </c>
      <c r="BS59" s="29">
        <v>9572.1700000000019</v>
      </c>
      <c r="BU59" s="29">
        <v>-293011.03999999998</v>
      </c>
      <c r="BW59" s="29">
        <v>-217426.32</v>
      </c>
      <c r="BY59" s="29">
        <v>-148208.58000000002</v>
      </c>
      <c r="CA59" s="29">
        <v>-71058.720000000001</v>
      </c>
      <c r="CC59" s="29">
        <v>-479038.27999999997</v>
      </c>
      <c r="CE59" s="29">
        <v>-378974.19</v>
      </c>
      <c r="CG59" s="29">
        <v>-240142.19000000003</v>
      </c>
      <c r="CI59" s="29">
        <v>-146453.9</v>
      </c>
      <c r="CK59" s="29">
        <v>-443442.28999999986</v>
      </c>
      <c r="CM59" s="29">
        <v>-468187.07</v>
      </c>
      <c r="CO59" s="29">
        <v>-280510.99</v>
      </c>
      <c r="CQ59" s="29">
        <v>-157365.60999999999</v>
      </c>
      <c r="CS59" s="29">
        <v>-650364.54</v>
      </c>
      <c r="CU59" s="29">
        <v>-452844.38</v>
      </c>
      <c r="CW59" s="29">
        <v>-317835.40000000002</v>
      </c>
      <c r="CY59" s="29"/>
      <c r="DA59" s="29"/>
      <c r="DC59" s="29"/>
      <c r="DD59" s="5"/>
      <c r="DE59" s="29"/>
      <c r="DF59" s="5"/>
      <c r="DG59" s="29"/>
      <c r="DH59" s="5"/>
      <c r="DI59" s="29">
        <f t="shared" si="127"/>
        <v>-356094.67</v>
      </c>
      <c r="DJ59" s="5"/>
      <c r="DK59" s="29">
        <f t="shared" si="128"/>
        <v>-296552.70999999996</v>
      </c>
      <c r="DL59" s="5"/>
      <c r="DM59" s="29">
        <f t="shared" si="128"/>
        <v>-257225.08000000002</v>
      </c>
      <c r="DN59" s="5"/>
      <c r="DO59" s="29">
        <f t="shared" si="128"/>
        <v>-189611.16999999998</v>
      </c>
      <c r="DP59" s="5"/>
      <c r="DQ59" s="29">
        <f t="shared" si="129"/>
        <v>-298149.77</v>
      </c>
      <c r="DR59" s="5"/>
      <c r="DS59" s="29">
        <f t="shared" si="130"/>
        <v>-411692.45999999996</v>
      </c>
      <c r="DT59" s="5"/>
      <c r="DU59" s="29">
        <f t="shared" si="130"/>
        <v>-254556.27000000002</v>
      </c>
      <c r="DV59" s="5"/>
      <c r="DW59" s="29">
        <f t="shared" si="130"/>
        <v>-135138.05000000005</v>
      </c>
      <c r="DX59" s="5"/>
      <c r="DY59" s="29">
        <f t="shared" si="131"/>
        <v>-338738.97</v>
      </c>
      <c r="DZ59" s="5"/>
      <c r="EA59" s="29">
        <f t="shared" si="132"/>
        <v>-328193.79000000004</v>
      </c>
      <c r="EB59" s="5"/>
      <c r="EC59" s="29">
        <f t="shared" si="133"/>
        <v>-316217.06999999995</v>
      </c>
      <c r="ED59" s="5"/>
      <c r="EE59" s="29">
        <f t="shared" si="134"/>
        <v>-145769.74000000002</v>
      </c>
      <c r="EF59" s="5"/>
      <c r="EG59" s="29">
        <f t="shared" si="135"/>
        <v>-59828.43</v>
      </c>
      <c r="EH59" s="5"/>
      <c r="EI59" s="29">
        <f t="shared" si="136"/>
        <v>-76550.469999999987</v>
      </c>
      <c r="EJ59" s="5"/>
      <c r="EK59" s="29">
        <f t="shared" si="136"/>
        <v>-16814.070000000007</v>
      </c>
      <c r="EL59" s="5"/>
      <c r="EM59" s="29">
        <f t="shared" si="136"/>
        <v>-36656.81</v>
      </c>
      <c r="EN59" s="5"/>
      <c r="EO59" s="29">
        <f t="shared" si="137"/>
        <v>-51121.36</v>
      </c>
      <c r="EP59" s="5"/>
      <c r="EQ59" s="29">
        <f t="shared" si="107"/>
        <v>-32191.25</v>
      </c>
      <c r="ER59" s="5"/>
      <c r="ES59" s="29">
        <f t="shared" si="108"/>
        <v>-38448.30999999999</v>
      </c>
      <c r="ET59" s="5"/>
      <c r="EU59" s="29">
        <f t="shared" si="109"/>
        <v>-27745.230000000003</v>
      </c>
      <c r="EV59" s="5"/>
      <c r="EW59" s="29">
        <f t="shared" si="138"/>
        <v>-21000</v>
      </c>
      <c r="EX59" s="5"/>
      <c r="EY59" s="29">
        <f t="shared" si="111"/>
        <v>-14435.93</v>
      </c>
      <c r="EZ59" s="5"/>
      <c r="FA59" s="29">
        <f t="shared" si="111"/>
        <v>-32935.320000000007</v>
      </c>
      <c r="FB59" s="5"/>
      <c r="FC59" s="29">
        <f t="shared" si="111"/>
        <v>7388.4900000000016</v>
      </c>
      <c r="FD59" s="5"/>
      <c r="FE59" s="29">
        <f t="shared" si="139"/>
        <v>-28234.82</v>
      </c>
      <c r="FF59" s="5"/>
      <c r="FG59" s="29">
        <v>-69253.879999999946</v>
      </c>
      <c r="FH59" s="5"/>
      <c r="FI59" s="29">
        <f t="shared" si="113"/>
        <v>-27126.990000010934</v>
      </c>
      <c r="FJ59" s="5"/>
      <c r="FK59" s="29">
        <f t="shared" si="114"/>
        <v>-14149.429999989108</v>
      </c>
      <c r="FL59" s="5"/>
      <c r="FM59" s="29">
        <f t="shared" si="115"/>
        <v>-47225.010000000009</v>
      </c>
      <c r="FN59" s="5"/>
      <c r="FO59" s="29">
        <f t="shared" si="116"/>
        <v>-59513.169999999984</v>
      </c>
      <c r="FP59" s="5"/>
      <c r="FQ59" s="29">
        <f t="shared" si="117"/>
        <v>-85314.73</v>
      </c>
      <c r="FR59" s="5"/>
      <c r="FS59" s="29">
        <f t="shared" si="118"/>
        <v>9572.1700000000019</v>
      </c>
      <c r="FT59" s="5"/>
      <c r="FU59" s="29">
        <f t="shared" si="119"/>
        <v>-75584.719999999972</v>
      </c>
      <c r="FV59" s="5"/>
      <c r="FW59" s="29">
        <f t="shared" si="119"/>
        <v>-69217.739999999991</v>
      </c>
      <c r="FX59" s="5"/>
      <c r="FY59" s="29">
        <f t="shared" si="119"/>
        <v>-77149.860000000015</v>
      </c>
      <c r="FZ59" s="5"/>
      <c r="GA59" s="29">
        <f t="shared" si="120"/>
        <v>-71058.720000000001</v>
      </c>
      <c r="GB59" s="5"/>
      <c r="GC59" s="29">
        <f t="shared" si="121"/>
        <v>-100064.08999999997</v>
      </c>
      <c r="GD59" s="5"/>
      <c r="GE59" s="29">
        <f t="shared" si="121"/>
        <v>-138831.99999999997</v>
      </c>
      <c r="GF59" s="5"/>
      <c r="GG59" s="29">
        <f t="shared" si="121"/>
        <v>-93688.290000000037</v>
      </c>
      <c r="GH59" s="5"/>
      <c r="GI59" s="29">
        <f t="shared" si="122"/>
        <v>-146453.9</v>
      </c>
      <c r="GJ59" s="5"/>
      <c r="GK59" s="29">
        <f t="shared" si="123"/>
        <v>24744.780000000144</v>
      </c>
      <c r="GL59" s="5"/>
      <c r="GM59" s="29">
        <f t="shared" si="123"/>
        <v>-187676.08000000002</v>
      </c>
      <c r="GN59" s="5"/>
      <c r="GO59" s="29">
        <f t="shared" si="124"/>
        <v>-123145.38</v>
      </c>
      <c r="GP59" s="5"/>
      <c r="GQ59" s="29">
        <f t="shared" si="125"/>
        <v>-157365.60999999999</v>
      </c>
      <c r="GR59" s="5"/>
      <c r="GS59" s="29">
        <f t="shared" si="126"/>
        <v>-197520.16000000003</v>
      </c>
      <c r="GT59" s="5"/>
      <c r="GU59" s="29">
        <f t="shared" si="126"/>
        <v>-135008.97999999998</v>
      </c>
    </row>
    <row r="60" spans="1:203">
      <c r="A60" s="38" t="s">
        <v>133</v>
      </c>
      <c r="C60" s="29"/>
      <c r="E60" s="29"/>
      <c r="G60" s="29"/>
      <c r="I60" s="29">
        <v>0</v>
      </c>
      <c r="K60" s="29">
        <v>0</v>
      </c>
      <c r="M60" s="29">
        <v>0</v>
      </c>
      <c r="O60" s="29">
        <v>0</v>
      </c>
      <c r="Q60" s="29">
        <v>0</v>
      </c>
      <c r="S60" s="29">
        <v>0</v>
      </c>
      <c r="U60" s="29">
        <v>0</v>
      </c>
      <c r="W60" s="29">
        <v>0</v>
      </c>
      <c r="Y60" s="29">
        <v>0</v>
      </c>
      <c r="AA60" s="29">
        <v>0</v>
      </c>
      <c r="AC60" s="29">
        <v>0</v>
      </c>
      <c r="AE60" s="29">
        <v>0</v>
      </c>
      <c r="AG60" s="29">
        <v>0</v>
      </c>
      <c r="AI60" s="29">
        <v>0</v>
      </c>
      <c r="AK60" s="29">
        <v>0</v>
      </c>
      <c r="AM60" s="29">
        <v>0</v>
      </c>
      <c r="AO60" s="29">
        <v>0</v>
      </c>
      <c r="AQ60" s="29">
        <v>0</v>
      </c>
      <c r="AS60" s="29">
        <v>0</v>
      </c>
      <c r="AU60" s="29">
        <v>0</v>
      </c>
      <c r="AW60" s="29">
        <v>0</v>
      </c>
      <c r="AY60" s="29">
        <v>0</v>
      </c>
      <c r="BA60" s="29">
        <v>0</v>
      </c>
      <c r="BC60" s="29">
        <v>0</v>
      </c>
      <c r="BE60" s="29">
        <v>0</v>
      </c>
      <c r="BG60" s="29">
        <v>0</v>
      </c>
      <c r="BI60" s="29">
        <v>0</v>
      </c>
      <c r="BK60" s="29">
        <v>0</v>
      </c>
      <c r="BM60" s="29">
        <v>0</v>
      </c>
      <c r="BO60" s="29">
        <v>0</v>
      </c>
      <c r="BQ60" s="29">
        <v>0</v>
      </c>
      <c r="BS60" s="29">
        <v>0</v>
      </c>
      <c r="BU60" s="29">
        <v>0</v>
      </c>
      <c r="BW60" s="29">
        <v>0</v>
      </c>
      <c r="BY60" s="29">
        <v>0</v>
      </c>
      <c r="CA60" s="29">
        <v>0</v>
      </c>
      <c r="CC60" s="29">
        <v>0</v>
      </c>
      <c r="CE60" s="29">
        <v>0</v>
      </c>
      <c r="CG60" s="29">
        <v>0</v>
      </c>
      <c r="CI60" s="29">
        <v>0</v>
      </c>
      <c r="CK60" s="29">
        <v>-52502.99</v>
      </c>
      <c r="CM60" s="29">
        <v>0</v>
      </c>
      <c r="CO60" s="29">
        <v>-46074</v>
      </c>
      <c r="CQ60" s="29">
        <v>-25000</v>
      </c>
      <c r="CS60" s="29">
        <v>0</v>
      </c>
      <c r="CU60" s="29">
        <v>0</v>
      </c>
      <c r="CW60" s="29">
        <v>0</v>
      </c>
      <c r="CY60" s="29"/>
      <c r="DA60" s="29"/>
      <c r="DC60" s="29"/>
      <c r="DD60" s="5"/>
      <c r="DE60" s="29"/>
      <c r="DF60" s="5"/>
      <c r="DG60" s="29"/>
      <c r="DH60" s="5"/>
      <c r="DI60" s="29">
        <f t="shared" si="127"/>
        <v>0</v>
      </c>
      <c r="DJ60" s="5"/>
      <c r="DK60" s="29">
        <f t="shared" si="128"/>
        <v>0</v>
      </c>
      <c r="DL60" s="5"/>
      <c r="DM60" s="29">
        <f t="shared" si="128"/>
        <v>0</v>
      </c>
      <c r="DN60" s="5"/>
      <c r="DO60" s="29">
        <f t="shared" si="128"/>
        <v>0</v>
      </c>
      <c r="DP60" s="5"/>
      <c r="DQ60" s="29">
        <f t="shared" si="129"/>
        <v>0</v>
      </c>
      <c r="DR60" s="5"/>
      <c r="DS60" s="29">
        <f t="shared" si="130"/>
        <v>0</v>
      </c>
      <c r="DT60" s="5"/>
      <c r="DU60" s="29">
        <f t="shared" si="130"/>
        <v>0</v>
      </c>
      <c r="DV60" s="5"/>
      <c r="DW60" s="29">
        <f t="shared" si="130"/>
        <v>0</v>
      </c>
      <c r="DX60" s="5"/>
      <c r="DY60" s="29">
        <f t="shared" si="131"/>
        <v>0</v>
      </c>
      <c r="DZ60" s="5"/>
      <c r="EA60" s="29">
        <f t="shared" si="132"/>
        <v>0</v>
      </c>
      <c r="EB60" s="5"/>
      <c r="EC60" s="29">
        <f t="shared" si="133"/>
        <v>0</v>
      </c>
      <c r="ED60" s="5"/>
      <c r="EE60" s="29">
        <f t="shared" si="134"/>
        <v>0</v>
      </c>
      <c r="EF60" s="5"/>
      <c r="EG60" s="29">
        <f t="shared" si="135"/>
        <v>0</v>
      </c>
      <c r="EH60" s="5"/>
      <c r="EI60" s="29">
        <f t="shared" si="136"/>
        <v>0</v>
      </c>
      <c r="EJ60" s="5"/>
      <c r="EK60" s="29">
        <f t="shared" si="136"/>
        <v>0</v>
      </c>
      <c r="EL60" s="5"/>
      <c r="EM60" s="29">
        <f t="shared" si="136"/>
        <v>0</v>
      </c>
      <c r="EN60" s="5"/>
      <c r="EO60" s="29">
        <f t="shared" si="137"/>
        <v>0</v>
      </c>
      <c r="EP60" s="5"/>
      <c r="EQ60" s="29">
        <f t="shared" si="107"/>
        <v>0</v>
      </c>
      <c r="ER60" s="5"/>
      <c r="ES60" s="29">
        <f t="shared" si="108"/>
        <v>0</v>
      </c>
      <c r="ET60" s="5"/>
      <c r="EU60" s="29">
        <f t="shared" si="109"/>
        <v>0</v>
      </c>
      <c r="EV60" s="5"/>
      <c r="EW60" s="29">
        <f t="shared" si="138"/>
        <v>0</v>
      </c>
      <c r="EX60" s="5"/>
      <c r="EY60" s="29">
        <f t="shared" si="111"/>
        <v>0</v>
      </c>
      <c r="EZ60" s="5"/>
      <c r="FA60" s="29">
        <f t="shared" si="111"/>
        <v>0</v>
      </c>
      <c r="FB60" s="5"/>
      <c r="FC60" s="29">
        <f t="shared" si="111"/>
        <v>0</v>
      </c>
      <c r="FD60" s="5"/>
      <c r="FE60" s="29">
        <f t="shared" si="139"/>
        <v>0</v>
      </c>
      <c r="FF60" s="5"/>
      <c r="FG60" s="29">
        <v>0</v>
      </c>
      <c r="FH60" s="5"/>
      <c r="FI60" s="29">
        <f t="shared" si="113"/>
        <v>0</v>
      </c>
      <c r="FJ60" s="5"/>
      <c r="FK60" s="29">
        <f t="shared" si="114"/>
        <v>0</v>
      </c>
      <c r="FL60" s="5"/>
      <c r="FM60" s="29">
        <f t="shared" si="115"/>
        <v>0</v>
      </c>
      <c r="FN60" s="5"/>
      <c r="FO60" s="29">
        <f t="shared" si="116"/>
        <v>0</v>
      </c>
      <c r="FP60" s="5"/>
      <c r="FQ60" s="29">
        <f t="shared" si="117"/>
        <v>0</v>
      </c>
      <c r="FR60" s="5"/>
      <c r="FS60" s="29">
        <f t="shared" si="118"/>
        <v>0</v>
      </c>
      <c r="FT60" s="5"/>
      <c r="FU60" s="29">
        <f t="shared" si="119"/>
        <v>0</v>
      </c>
      <c r="FV60" s="5"/>
      <c r="FW60" s="29">
        <f t="shared" si="119"/>
        <v>0</v>
      </c>
      <c r="FX60" s="5"/>
      <c r="FY60" s="29">
        <f t="shared" si="119"/>
        <v>0</v>
      </c>
      <c r="FZ60" s="5"/>
      <c r="GA60" s="29">
        <f t="shared" si="120"/>
        <v>0</v>
      </c>
      <c r="GB60" s="5"/>
      <c r="GC60" s="29">
        <f t="shared" si="121"/>
        <v>0</v>
      </c>
      <c r="GD60" s="5"/>
      <c r="GE60" s="29">
        <f t="shared" si="121"/>
        <v>0</v>
      </c>
      <c r="GF60" s="5"/>
      <c r="GG60" s="29">
        <f t="shared" si="121"/>
        <v>0</v>
      </c>
      <c r="GH60" s="5"/>
      <c r="GI60" s="29">
        <f t="shared" si="122"/>
        <v>0</v>
      </c>
      <c r="GJ60" s="5"/>
      <c r="GK60" s="29">
        <f t="shared" si="123"/>
        <v>-52502.99</v>
      </c>
      <c r="GL60" s="5"/>
      <c r="GM60" s="29">
        <f t="shared" si="123"/>
        <v>46074</v>
      </c>
      <c r="GN60" s="5"/>
      <c r="GO60" s="29">
        <f t="shared" si="124"/>
        <v>-21074</v>
      </c>
      <c r="GP60" s="5"/>
      <c r="GQ60" s="29">
        <f t="shared" si="125"/>
        <v>-25000</v>
      </c>
      <c r="GR60" s="5"/>
      <c r="GS60" s="29">
        <f t="shared" si="126"/>
        <v>0</v>
      </c>
      <c r="GT60" s="5"/>
      <c r="GU60" s="29">
        <f t="shared" si="126"/>
        <v>0</v>
      </c>
    </row>
    <row r="61" spans="1:203" s="39" customFormat="1" ht="13">
      <c r="A61" s="37" t="s">
        <v>134</v>
      </c>
      <c r="B61" s="171"/>
      <c r="C61" s="192"/>
      <c r="D61" s="171"/>
      <c r="E61" s="192"/>
      <c r="F61" s="105"/>
      <c r="G61" s="104"/>
      <c r="H61" s="105"/>
      <c r="I61" s="192">
        <f>SUM(I48:I52,I54:I60)</f>
        <v>-1360219.85</v>
      </c>
      <c r="J61" s="171"/>
      <c r="K61" s="192">
        <f>SUM(K48:K52,K54:K60)</f>
        <v>-30536770.940000046</v>
      </c>
      <c r="L61" s="171"/>
      <c r="M61" s="192">
        <f>SUM(M48:M52,M54:M60)</f>
        <v>-29018394.270000011</v>
      </c>
      <c r="N61" s="105"/>
      <c r="O61" s="104">
        <f>SUM(O48:O52,O54:O60)</f>
        <v>-27909878.930000011</v>
      </c>
      <c r="P61" s="105"/>
      <c r="Q61" s="192">
        <f>SUM(Q48:Q52,Q54:Q60)</f>
        <v>-1040850.73</v>
      </c>
      <c r="R61" s="171"/>
      <c r="S61" s="192">
        <f>SUM(S48:S52,S54:S60)</f>
        <v>-20956155.899999995</v>
      </c>
      <c r="T61" s="171"/>
      <c r="U61" s="192">
        <f>SUM(U48:U52,U54:U60)</f>
        <v>-12628423.889999963</v>
      </c>
      <c r="V61" s="105"/>
      <c r="W61" s="104">
        <f>SUM(W48:W52,W54:W60)</f>
        <v>-16487145.110000009</v>
      </c>
      <c r="X61" s="105"/>
      <c r="Y61" s="104">
        <f>SUM(Y48:Y52,Y54:Y60)</f>
        <v>-12193063.67</v>
      </c>
      <c r="Z61" s="105"/>
      <c r="AA61" s="192">
        <f>SUM(AA48:AA52,AA54:AA60)</f>
        <v>582426.12000000128</v>
      </c>
      <c r="AB61" s="171"/>
      <c r="AC61" s="192">
        <f>SUM(AC48:AC52,AC54:AC60)</f>
        <v>-476426.429999999</v>
      </c>
      <c r="AD61" s="105"/>
      <c r="AE61" s="104">
        <f>SUM(AE48:AE52,AE54:AE60)</f>
        <v>7839165.1599999946</v>
      </c>
      <c r="AF61" s="105"/>
      <c r="AG61" s="104">
        <f>SUM(AG48:AG52,AG54:AG60)</f>
        <v>-655242.21000000008</v>
      </c>
      <c r="AH61" s="105"/>
      <c r="AI61" s="104">
        <f>SUM(AI48:AI52,AI54:AI60)</f>
        <v>-6413220.54</v>
      </c>
      <c r="AJ61" s="105"/>
      <c r="AK61" s="104">
        <f>SUM(AK48:AK52,AK54:AK60)</f>
        <v>-5761797.0500000026</v>
      </c>
      <c r="AL61" s="105"/>
      <c r="AM61" s="104">
        <f>SUM(AM48:AM52,AM54:AM60)</f>
        <v>-5117796.3100000098</v>
      </c>
      <c r="AN61" s="105"/>
      <c r="AO61" s="104">
        <f>SUM(AO48:AO52,AO54:AO60)</f>
        <v>-659199.4</v>
      </c>
      <c r="AP61" s="105"/>
      <c r="AQ61" s="104">
        <f>SUM(AQ48:AQ52,AQ54:AQ60)</f>
        <v>-5110874.74</v>
      </c>
      <c r="AR61" s="105"/>
      <c r="AS61" s="104">
        <f>SUM(AS48:AS52,AS54:AS60)</f>
        <v>-3997322.5200000103</v>
      </c>
      <c r="AT61" s="105"/>
      <c r="AU61" s="104">
        <f>SUM(AU48:AU52,AU54:AU60)</f>
        <v>3486000.2299999795</v>
      </c>
      <c r="AV61" s="105"/>
      <c r="AW61" s="104">
        <f>SUM(AW48:AW52,AW54:AW60)</f>
        <v>-249799.98000002097</v>
      </c>
      <c r="AX61" s="105"/>
      <c r="AY61" s="104">
        <f>SUM(AY48:AY52,AY54:AY60)</f>
        <v>-1369975.35</v>
      </c>
      <c r="AZ61" s="105"/>
      <c r="BA61" s="104">
        <f>SUM(BA48:BA52,BA54:BA60)</f>
        <v>-1223658.6300000211</v>
      </c>
      <c r="BB61" s="105"/>
      <c r="BC61" s="104">
        <f>SUM(BC48:BC52,BC54:BC60)</f>
        <v>-1038172.81</v>
      </c>
      <c r="BD61" s="105"/>
      <c r="BE61" s="104">
        <f>SUM(BE48:BE52,BE54:BE60)</f>
        <v>-575255.51</v>
      </c>
      <c r="BF61" s="105"/>
      <c r="BG61" s="104">
        <f>SUM(BG48:BG52,BG54:BG60)</f>
        <v>-5193976.9000000004</v>
      </c>
      <c r="BH61" s="105"/>
      <c r="BI61" s="104">
        <f>SUM(BI48:BI52,BI54:BI60)</f>
        <v>-1792874.0000000005</v>
      </c>
      <c r="BJ61" s="105"/>
      <c r="BK61" s="104">
        <f>SUM(BK48:BK52,BK54:BK60)</f>
        <v>-2657999.52999999</v>
      </c>
      <c r="BL61" s="105"/>
      <c r="BM61" s="104">
        <f>SUM(BM48:BM52,BM54:BM60)</f>
        <v>-3826660.6700000009</v>
      </c>
      <c r="BN61" s="105"/>
      <c r="BO61" s="104">
        <f>SUM(BO48:BO52,BO54:BO60)</f>
        <v>3182080.540000001</v>
      </c>
      <c r="BP61" s="105"/>
      <c r="BQ61" s="104">
        <f>SUM(BQ48:BQ52,BQ54:BQ60)</f>
        <v>2998774.1399999992</v>
      </c>
      <c r="BR61" s="105"/>
      <c r="BS61" s="104">
        <f>SUM(BS48:BS52,BS54:BS60)</f>
        <v>872338.36000000022</v>
      </c>
      <c r="BT61" s="105"/>
      <c r="BU61" s="104">
        <f>SUM(BU48:BU52,BU54:BU60)</f>
        <v>-2637122.8799999994</v>
      </c>
      <c r="BV61" s="105"/>
      <c r="BW61" s="104">
        <f>SUM(BW48:BW52,BW54:BW60)</f>
        <v>-426883.8999999995</v>
      </c>
      <c r="BX61" s="105"/>
      <c r="BY61" s="104">
        <f>SUM(BY48:BY52,BY54:BY60)</f>
        <v>570274.51</v>
      </c>
      <c r="BZ61" s="105"/>
      <c r="CA61" s="104">
        <f>SUM(CA48:CA52,CA54:CA60)</f>
        <v>1243186.7400000005</v>
      </c>
      <c r="CB61" s="105"/>
      <c r="CC61" s="104">
        <f>SUM(CC48:CC52,CC54:CC60)</f>
        <v>-4815215.0100000007</v>
      </c>
      <c r="CD61" s="105"/>
      <c r="CE61" s="104">
        <f>SUM(CE48:CE52,CE54:CE60)</f>
        <v>-3778322.1500000008</v>
      </c>
      <c r="CF61" s="105"/>
      <c r="CG61" s="104">
        <f>SUM(CG48:CG52,CG54:CG60)</f>
        <v>-2235653.6186973476</v>
      </c>
      <c r="CH61" s="105"/>
      <c r="CI61" s="104">
        <f>SUM(CI48:CI52,CI54:CI60)</f>
        <v>-988159.53</v>
      </c>
      <c r="CJ61" s="105"/>
      <c r="CK61" s="104">
        <f>SUM(CK48:CK52,CK54:CK60)</f>
        <v>1137210.3</v>
      </c>
      <c r="CL61" s="105"/>
      <c r="CM61" s="104">
        <f>SUM(CM48:CM52,CM54:CM60)</f>
        <v>2590089.8593200999</v>
      </c>
      <c r="CN61" s="105"/>
      <c r="CO61" s="104">
        <f>SUM(CO48:CO52,CO54:CO60)</f>
        <v>3821374.7799999993</v>
      </c>
      <c r="CP61" s="105"/>
      <c r="CQ61" s="104">
        <f>SUM(CQ48:CQ52,CQ54:CQ60)</f>
        <v>4519501.8900000034</v>
      </c>
      <c r="CR61" s="105"/>
      <c r="CS61" s="104">
        <f>SUM(CS48:CS52,CS54:CS60)</f>
        <v>34550805.370000012</v>
      </c>
      <c r="CT61" s="105"/>
      <c r="CU61" s="104">
        <f>SUM(CU48:CU52,CU54:CU60)</f>
        <v>1500407.0023634909</v>
      </c>
      <c r="CV61" s="105"/>
      <c r="CW61" s="104">
        <f>SUM(CW48:CW52,CW54:CW60)</f>
        <v>1827023.3685425576</v>
      </c>
      <c r="CX61" s="105"/>
      <c r="CY61" s="104"/>
      <c r="CZ61" s="105"/>
      <c r="DA61" s="104"/>
      <c r="DB61" s="94"/>
      <c r="DC61" s="104"/>
      <c r="DD61" s="105"/>
      <c r="DE61" s="104"/>
      <c r="DF61" s="105"/>
      <c r="DG61" s="104"/>
      <c r="DH61" s="105"/>
      <c r="DI61" s="104">
        <f>SUM(DI48:DI52,DI54:DI60)</f>
        <v>-1360219.85</v>
      </c>
      <c r="DJ61" s="105"/>
      <c r="DK61" s="104">
        <f>SUM(DK48:DK52,DK54:DK60)</f>
        <v>-1518376.670000033</v>
      </c>
      <c r="DL61" s="105"/>
      <c r="DM61" s="104">
        <f>SUM(DM48:DM52,DM54:DM60)</f>
        <v>-1108515.3399999924</v>
      </c>
      <c r="DN61" s="105"/>
      <c r="DO61" s="104">
        <f>SUM(DO48:DO52,DO54:DO60)</f>
        <v>-26869028.20000001</v>
      </c>
      <c r="DP61" s="105"/>
      <c r="DQ61" s="104">
        <f>SUM(DQ48:DQ52,DQ54:DQ60)</f>
        <v>-1040850.73</v>
      </c>
      <c r="DR61" s="105"/>
      <c r="DS61" s="104">
        <f>SUM(DS48:DS52,DS54:DS60)</f>
        <v>-8327732.0100000324</v>
      </c>
      <c r="DT61" s="105"/>
      <c r="DU61" s="104">
        <f>SUM(DU48:DU52,DU54:DU60)</f>
        <v>3858721.2200000458</v>
      </c>
      <c r="DV61" s="105"/>
      <c r="DW61" s="104">
        <f>SUM(DW48:DW52,DW54:DW60)</f>
        <v>-4294081.4400000088</v>
      </c>
      <c r="DX61" s="105"/>
      <c r="DY61" s="104">
        <f>SUM(DY48:DY52,DY54:DY60)</f>
        <v>-12193063.67</v>
      </c>
      <c r="DZ61" s="105"/>
      <c r="EA61" s="104">
        <f>SUM(EA48:EA52,EA54:EA60)</f>
        <v>1058852.5500000003</v>
      </c>
      <c r="EB61" s="105"/>
      <c r="EC61" s="104">
        <f>SUM(EC48:EC52,EC54:EC60)</f>
        <v>-8315591.5899999943</v>
      </c>
      <c r="ED61" s="105"/>
      <c r="EE61" s="104">
        <f>SUM(EE48:EE52,EE54:EE60)</f>
        <v>8494407.3699999936</v>
      </c>
      <c r="EF61" s="105"/>
      <c r="EG61" s="104">
        <f>SUM(EG48:EG52,EG54:EG60)</f>
        <v>-655242.21000000008</v>
      </c>
      <c r="EH61" s="105"/>
      <c r="EI61" s="104">
        <f>SUM(EI48:EI52,EI54:EI60)</f>
        <v>-651423.49000000092</v>
      </c>
      <c r="EJ61" s="105"/>
      <c r="EK61" s="104">
        <f>SUM(EK48:EK52,EK54:EK60)</f>
        <v>-644000.73999999184</v>
      </c>
      <c r="EL61" s="105"/>
      <c r="EM61" s="104">
        <f>SUM(EM48:EM52,EM54:EM60)</f>
        <v>-4458596.9100000095</v>
      </c>
      <c r="EN61" s="105"/>
      <c r="EO61" s="104">
        <f>SUM(EO48:EO52,EO54:EO60)</f>
        <v>-659199.4</v>
      </c>
      <c r="EP61" s="105"/>
      <c r="EQ61" s="104">
        <f>AQ61-AS61</f>
        <v>-1113552.21999999</v>
      </c>
      <c r="ER61" s="105"/>
      <c r="ES61" s="104">
        <f t="shared" si="108"/>
        <v>-7483322.7499999898</v>
      </c>
      <c r="ET61" s="105"/>
      <c r="EU61" s="104">
        <f t="shared" si="109"/>
        <v>3735800.2100000004</v>
      </c>
      <c r="EV61" s="105"/>
      <c r="EW61" s="104">
        <f t="shared" si="138"/>
        <v>-249799.98000002097</v>
      </c>
      <c r="EX61" s="105"/>
      <c r="EY61" s="104">
        <f t="shared" si="111"/>
        <v>-146316.71999997902</v>
      </c>
      <c r="EZ61" s="105"/>
      <c r="FA61" s="104">
        <f t="shared" si="111"/>
        <v>-185485.82000002102</v>
      </c>
      <c r="FB61" s="105"/>
      <c r="FC61" s="104">
        <f t="shared" si="111"/>
        <v>-462917.30000000005</v>
      </c>
      <c r="FD61" s="105"/>
      <c r="FE61" s="104">
        <f t="shared" si="139"/>
        <v>-575255.51</v>
      </c>
      <c r="FF61" s="105"/>
      <c r="FG61" s="104">
        <f>SUM(FG48:FG52,FG54:FG60)</f>
        <v>-2631438.42</v>
      </c>
      <c r="FH61" s="105"/>
      <c r="FI61" s="104">
        <f t="shared" si="113"/>
        <v>865125.52999998955</v>
      </c>
      <c r="FJ61" s="105"/>
      <c r="FK61" s="104">
        <f t="shared" si="114"/>
        <v>1168661.1400000108</v>
      </c>
      <c r="FL61" s="105"/>
      <c r="FM61" s="104">
        <f t="shared" si="115"/>
        <v>-7008741.2100000018</v>
      </c>
      <c r="FN61" s="105"/>
      <c r="FO61" s="104">
        <f t="shared" si="116"/>
        <v>183306.40000000177</v>
      </c>
      <c r="FP61" s="105"/>
      <c r="FQ61" s="104">
        <f t="shared" si="117"/>
        <v>2126435.7799999989</v>
      </c>
      <c r="FR61" s="105"/>
      <c r="FS61" s="104">
        <f t="shared" si="118"/>
        <v>872338.36000000022</v>
      </c>
      <c r="FT61" s="105"/>
      <c r="FU61" s="104">
        <f t="shared" si="119"/>
        <v>-2210238.98</v>
      </c>
      <c r="FV61" s="105"/>
      <c r="FW61" s="104">
        <f t="shared" si="119"/>
        <v>-997158.40999999945</v>
      </c>
      <c r="FX61" s="105"/>
      <c r="FY61" s="104">
        <f t="shared" si="119"/>
        <v>-672912.23000000045</v>
      </c>
      <c r="FZ61" s="105"/>
      <c r="GA61" s="104">
        <f t="shared" si="120"/>
        <v>1243186.7400000005</v>
      </c>
      <c r="GB61" s="105"/>
      <c r="GC61" s="104">
        <f t="shared" si="121"/>
        <v>-1036892.8599999999</v>
      </c>
      <c r="GD61" s="105"/>
      <c r="GE61" s="104">
        <f t="shared" si="121"/>
        <v>-1542668.5313026533</v>
      </c>
      <c r="GF61" s="105"/>
      <c r="GG61" s="104">
        <f t="shared" si="121"/>
        <v>-1247494.0886973476</v>
      </c>
      <c r="GH61" s="105"/>
      <c r="GI61" s="104">
        <f t="shared" si="122"/>
        <v>-988159.53</v>
      </c>
      <c r="GJ61" s="105"/>
      <c r="GK61" s="104">
        <f t="shared" si="123"/>
        <v>-1452879.5593200999</v>
      </c>
      <c r="GL61" s="105"/>
      <c r="GM61" s="104">
        <f t="shared" si="123"/>
        <v>-1231284.9206798994</v>
      </c>
      <c r="GN61" s="105"/>
      <c r="GO61" s="104">
        <f t="shared" si="124"/>
        <v>-698127.11000000406</v>
      </c>
      <c r="GP61" s="105"/>
      <c r="GQ61" s="104">
        <f t="shared" si="125"/>
        <v>4519501.8900000034</v>
      </c>
      <c r="GR61" s="105"/>
      <c r="GS61" s="104">
        <f t="shared" si="126"/>
        <v>33050398.36763652</v>
      </c>
      <c r="GT61" s="105"/>
      <c r="GU61" s="104">
        <f t="shared" si="126"/>
        <v>-326616.36617906671</v>
      </c>
    </row>
    <row r="62" spans="1:203">
      <c r="C62" s="29"/>
      <c r="E62" s="29"/>
      <c r="G62" s="29"/>
      <c r="I62" s="29"/>
      <c r="K62" s="29"/>
      <c r="M62" s="29"/>
      <c r="O62" s="29"/>
      <c r="Q62" s="29"/>
      <c r="S62" s="29"/>
      <c r="U62" s="29"/>
      <c r="W62" s="29"/>
      <c r="Y62" s="29"/>
      <c r="AA62" s="29"/>
      <c r="AC62" s="29"/>
      <c r="AE62" s="29"/>
      <c r="AG62" s="29"/>
      <c r="AI62" s="29"/>
      <c r="AK62" s="29"/>
      <c r="AM62" s="29"/>
      <c r="AO62" s="29"/>
      <c r="AQ62" s="29"/>
      <c r="AS62" s="29"/>
      <c r="AU62" s="29"/>
      <c r="AW62" s="29"/>
      <c r="AY62" s="29"/>
      <c r="BA62" s="29"/>
      <c r="BC62" s="29"/>
      <c r="BE62" s="29"/>
      <c r="BG62" s="29"/>
      <c r="BI62" s="29"/>
      <c r="BK62" s="29"/>
      <c r="BM62" s="29"/>
      <c r="BO62" s="29"/>
      <c r="BQ62" s="29"/>
      <c r="BS62" s="29"/>
      <c r="BU62" s="29"/>
      <c r="BW62" s="29"/>
      <c r="BY62" s="29"/>
      <c r="CA62" s="29"/>
      <c r="CC62" s="29"/>
      <c r="CE62" s="29"/>
      <c r="CG62" s="29"/>
      <c r="CI62" s="29"/>
      <c r="CK62" s="29"/>
      <c r="CM62" s="29"/>
      <c r="CO62" s="29"/>
      <c r="CQ62" s="29"/>
      <c r="CS62" s="29"/>
      <c r="CU62" s="29"/>
      <c r="CW62" s="29"/>
      <c r="CY62" s="29"/>
      <c r="DA62" s="29"/>
      <c r="EE62" s="29"/>
      <c r="EG62" s="29"/>
      <c r="EM62" s="29"/>
      <c r="EO62" s="29"/>
      <c r="FG62" s="29"/>
    </row>
    <row r="63" spans="1:203" s="39" customFormat="1" ht="13">
      <c r="A63" s="37" t="s">
        <v>135</v>
      </c>
      <c r="B63" s="171"/>
      <c r="C63" s="192"/>
      <c r="D63" s="171"/>
      <c r="E63" s="192"/>
      <c r="F63" s="105"/>
      <c r="G63" s="104"/>
      <c r="H63" s="105"/>
      <c r="I63" s="192">
        <f>I22+I44+I61</f>
        <v>97476780.730000019</v>
      </c>
      <c r="J63" s="171"/>
      <c r="K63" s="192">
        <f>K22+K44+K61</f>
        <v>25733087.359999973</v>
      </c>
      <c r="L63" s="171"/>
      <c r="M63" s="192">
        <f>M22+M44+M61</f>
        <v>16847722.860000022</v>
      </c>
      <c r="N63" s="105"/>
      <c r="O63" s="104">
        <f>O22+O44+O61</f>
        <v>14490580.689999994</v>
      </c>
      <c r="P63" s="105"/>
      <c r="Q63" s="192">
        <f>Q22+Q44+Q61</f>
        <v>78556074.319999978</v>
      </c>
      <c r="R63" s="171"/>
      <c r="S63" s="192">
        <f>S22+S44+S61</f>
        <v>32095934.849999975</v>
      </c>
      <c r="T63" s="171"/>
      <c r="U63" s="192">
        <f>U22+U44+U61</f>
        <v>-147658.54000000283</v>
      </c>
      <c r="V63" s="105"/>
      <c r="W63" s="104">
        <f>W22+W44+W61</f>
        <v>4963046.0500000026</v>
      </c>
      <c r="X63" s="105"/>
      <c r="Y63" s="104">
        <f>Y22+Y44+Y61</f>
        <v>13607269.680000002</v>
      </c>
      <c r="Z63" s="105"/>
      <c r="AA63" s="192">
        <f>AA22+AA44+AA61</f>
        <v>-9254978.7400000114</v>
      </c>
      <c r="AB63" s="171"/>
      <c r="AC63" s="192">
        <f>AC22+AC44+AC61</f>
        <v>-7955974.9300000062</v>
      </c>
      <c r="AD63" s="105"/>
      <c r="AE63" s="104">
        <f>AE22+AE44+AE61</f>
        <v>-9642760.0400000084</v>
      </c>
      <c r="AF63" s="105"/>
      <c r="AG63" s="104">
        <f>AG22+AG44+AG61</f>
        <v>13426972.670000007</v>
      </c>
      <c r="AH63" s="105"/>
      <c r="AI63" s="104">
        <f>AI22+AI44+AI61</f>
        <v>7440858.3499999987</v>
      </c>
      <c r="AJ63" s="105"/>
      <c r="AK63" s="104">
        <f>AK22+AK44+AK61</f>
        <v>2667263.6899999976</v>
      </c>
      <c r="AL63" s="105"/>
      <c r="AM63" s="104">
        <f>AM22+AM44+AM61</f>
        <v>3564533.0499999914</v>
      </c>
      <c r="AN63" s="105"/>
      <c r="AO63" s="104">
        <f>AO22+AO44+AO61</f>
        <v>11033800.510000004</v>
      </c>
      <c r="AP63" s="105"/>
      <c r="AQ63" s="104">
        <f>AQ22+AQ44+AQ61</f>
        <v>2418291.269999994</v>
      </c>
      <c r="AR63" s="105"/>
      <c r="AS63" s="104">
        <f>AS22+AS44+AS61</f>
        <v>-1222763.8200000213</v>
      </c>
      <c r="AT63" s="105"/>
      <c r="AU63" s="104">
        <f>AU22+AU44+AU61</f>
        <v>-3139855.6600000192</v>
      </c>
      <c r="AV63" s="105"/>
      <c r="AW63" s="104">
        <f>AW22+AW44+AW61</f>
        <v>9311539.849999981</v>
      </c>
      <c r="AX63" s="105"/>
      <c r="AY63" s="104">
        <f>AY22+AY44+AY61</f>
        <v>2767500.0800000201</v>
      </c>
      <c r="AZ63" s="105"/>
      <c r="BA63" s="104">
        <f>BA22+BA44+BA61</f>
        <v>-790996.6399999999</v>
      </c>
      <c r="BB63" s="105"/>
      <c r="BC63" s="104">
        <f>BC22+BC44+BC61</f>
        <v>9781547.0999999903</v>
      </c>
      <c r="BD63" s="105"/>
      <c r="BE63" s="104">
        <f>BE22+BE44+BE61</f>
        <v>24899065.159999989</v>
      </c>
      <c r="BF63" s="105"/>
      <c r="BG63" s="104">
        <f>BG22+BG44+BG61</f>
        <v>-3362814.2</v>
      </c>
      <c r="BH63" s="105"/>
      <c r="BI63" s="104">
        <f>BI22+BI44+BI61</f>
        <v>-5847277.4199999999</v>
      </c>
      <c r="BJ63" s="105"/>
      <c r="BK63" s="104">
        <f>BK22+BK44+BK61</f>
        <v>-6100869.7599999998</v>
      </c>
      <c r="BL63" s="105"/>
      <c r="BM63" s="104">
        <f>BM22+BM44+BM61</f>
        <v>11193737.779999997</v>
      </c>
      <c r="BN63" s="105"/>
      <c r="BO63" s="104">
        <f>BO22+BO44+BO61</f>
        <v>-1776375.3399999933</v>
      </c>
      <c r="BP63" s="105"/>
      <c r="BQ63" s="104">
        <f>BQ22+BQ44+BQ61</f>
        <v>-4807877.7399999946</v>
      </c>
      <c r="BR63" s="105"/>
      <c r="BS63" s="104">
        <f>BS22+BS44+BS61</f>
        <v>-5087974.9199999981</v>
      </c>
      <c r="BT63" s="105"/>
      <c r="BU63" s="104">
        <f>BU22+BU44+BU61</f>
        <v>-11769518.949999992</v>
      </c>
      <c r="BV63" s="105"/>
      <c r="BW63" s="104">
        <f>BW22+BW44+BW61</f>
        <v>-14365095.069999991</v>
      </c>
      <c r="BX63" s="105"/>
      <c r="BY63" s="104">
        <f>BY22+BY44+BY61</f>
        <v>-9050504.1100000013</v>
      </c>
      <c r="BZ63" s="105"/>
      <c r="CA63" s="104">
        <f>CA22+CA44+CA61</f>
        <v>-8329753.6099999994</v>
      </c>
      <c r="CB63" s="105"/>
      <c r="CC63" s="104">
        <f>CC22+CC44+CC61</f>
        <v>-10557957.73</v>
      </c>
      <c r="CD63" s="105"/>
      <c r="CE63" s="104">
        <f>CE22+CE44+CE61</f>
        <v>-16460608.430000007</v>
      </c>
      <c r="CF63" s="105"/>
      <c r="CG63" s="104">
        <f>CG22+CG44+CG61</f>
        <v>-26002516.626697347</v>
      </c>
      <c r="CH63" s="105"/>
      <c r="CI63" s="104">
        <f>CI22+CI44+CI61</f>
        <v>-17349292.970000003</v>
      </c>
      <c r="CJ63" s="105"/>
      <c r="CK63" s="104">
        <f>CK22+CK44+CK61</f>
        <v>-2450961.0280194608</v>
      </c>
      <c r="CL63" s="105"/>
      <c r="CM63" s="104">
        <f>CM22+CM44+CM61</f>
        <v>-21374309.793690823</v>
      </c>
      <c r="CN63" s="105"/>
      <c r="CO63" s="104">
        <f>CO22+CO44+CO61</f>
        <v>-15432558.256090833</v>
      </c>
      <c r="CP63" s="105"/>
      <c r="CQ63" s="104">
        <f>CQ22+CQ44+CQ61</f>
        <v>-14311165.419771291</v>
      </c>
      <c r="CR63" s="105"/>
      <c r="CS63" s="104">
        <f>CS22+CS44+CS61</f>
        <v>20237643.729999997</v>
      </c>
      <c r="CT63" s="105"/>
      <c r="CU63" s="104">
        <f>CU22+CU44+CU61</f>
        <v>-11800853.775775313</v>
      </c>
      <c r="CV63" s="105"/>
      <c r="CW63" s="104">
        <f>CW22+CW44+CW61</f>
        <v>-11824564.607575301</v>
      </c>
      <c r="CX63" s="105"/>
      <c r="CY63" s="104"/>
      <c r="CZ63" s="105"/>
      <c r="DA63" s="104"/>
      <c r="DB63" s="94"/>
      <c r="DC63" s="104"/>
      <c r="DD63" s="105"/>
      <c r="DE63" s="104"/>
      <c r="DF63" s="105"/>
      <c r="DG63" s="104"/>
      <c r="DH63" s="105"/>
      <c r="DI63" s="104">
        <f>DI22+DI44+DI61</f>
        <v>97476780.730000019</v>
      </c>
      <c r="DJ63" s="105"/>
      <c r="DK63" s="104">
        <f>DK22+DK44+DK61</f>
        <v>8885364.4999999534</v>
      </c>
      <c r="DL63" s="105"/>
      <c r="DM63" s="104">
        <f>DM22+DM44+DM61</f>
        <v>2357142.1700000195</v>
      </c>
      <c r="DN63" s="105"/>
      <c r="DO63" s="104">
        <f>DO22+DO44+DO61</f>
        <v>-64065493.629999965</v>
      </c>
      <c r="DP63" s="105"/>
      <c r="DQ63" s="104">
        <f>DQ22+DQ44+DQ61</f>
        <v>78556074.319999978</v>
      </c>
      <c r="DR63" s="105"/>
      <c r="DS63" s="104">
        <f>DS22+DS44+DS61</f>
        <v>32243593.389999975</v>
      </c>
      <c r="DT63" s="105"/>
      <c r="DU63" s="104">
        <f>DU22+DU44+DU61</f>
        <v>-5110704.5900000092</v>
      </c>
      <c r="DV63" s="105"/>
      <c r="DW63" s="104">
        <f>DW22+DW44+DW61</f>
        <v>-8644223.629999999</v>
      </c>
      <c r="DX63" s="105"/>
      <c r="DY63" s="104">
        <f>DY22+DY44+DY61</f>
        <v>13607269.680000002</v>
      </c>
      <c r="DZ63" s="105"/>
      <c r="EA63" s="104">
        <f>EA22+EA44+EA61</f>
        <v>-1299003.8100000056</v>
      </c>
      <c r="EB63" s="105"/>
      <c r="EC63" s="104">
        <f>EC22+EC44+EC61</f>
        <v>1686785.1100000013</v>
      </c>
      <c r="ED63" s="105"/>
      <c r="EE63" s="104">
        <f>EE22+EE44+EE61</f>
        <v>-23069732.710000016</v>
      </c>
      <c r="EF63" s="105"/>
      <c r="EG63" s="104">
        <f>EG22+EG44+EG61</f>
        <v>13426972.670000007</v>
      </c>
      <c r="EH63" s="105"/>
      <c r="EI63" s="104">
        <f>EI22+EI44+EI61</f>
        <v>4773594.6599999964</v>
      </c>
      <c r="EJ63" s="105"/>
      <c r="EK63" s="104">
        <f>EK22+EK44+EK61</f>
        <v>-897269.35999999242</v>
      </c>
      <c r="EL63" s="105"/>
      <c r="EM63" s="104">
        <f>EM22+EM44+EM61</f>
        <v>-7469267.4600000121</v>
      </c>
      <c r="EN63" s="105"/>
      <c r="EO63" s="104">
        <f>EO22+EO44+EO61</f>
        <v>11033800.510000004</v>
      </c>
      <c r="EP63" s="105"/>
      <c r="EQ63" s="104">
        <f>AQ63-AS63</f>
        <v>3641055.0900000152</v>
      </c>
      <c r="ER63" s="105"/>
      <c r="ES63" s="104">
        <f>AS63-AU63</f>
        <v>1917091.839999998</v>
      </c>
      <c r="ET63" s="105"/>
      <c r="EU63" s="104">
        <f>AU63-AW63</f>
        <v>-12451395.51</v>
      </c>
      <c r="EV63" s="105"/>
      <c r="EW63" s="104">
        <f t="shared" ref="EW63" si="140">AW63</f>
        <v>9311539.849999981</v>
      </c>
      <c r="EX63" s="105"/>
      <c r="EY63" s="104">
        <f>AY63-BA63</f>
        <v>3558496.7200000202</v>
      </c>
      <c r="EZ63" s="105"/>
      <c r="FA63" s="104">
        <f>BA63-BC63</f>
        <v>-10572543.739999991</v>
      </c>
      <c r="FB63" s="105"/>
      <c r="FC63" s="104">
        <f>BC63-BE63</f>
        <v>-15117518.059999999</v>
      </c>
      <c r="FD63" s="105"/>
      <c r="FE63" s="104">
        <f t="shared" si="139"/>
        <v>24899065.159999989</v>
      </c>
      <c r="FF63" s="105"/>
      <c r="FG63" s="104">
        <f>FG22+FG44+FG61</f>
        <v>2484463.219999996</v>
      </c>
      <c r="FH63" s="105"/>
      <c r="FI63" s="104">
        <f>BI63-BK63</f>
        <v>253592.33999999985</v>
      </c>
      <c r="FJ63" s="105"/>
      <c r="FK63" s="104">
        <f>BK63-BM63</f>
        <v>-17294607.539999999</v>
      </c>
      <c r="FL63" s="105"/>
      <c r="FM63" s="104">
        <f>BM63-BO63</f>
        <v>12970113.11999999</v>
      </c>
      <c r="FN63" s="105"/>
      <c r="FO63" s="104">
        <f>BO63-BQ63</f>
        <v>3031502.4000000013</v>
      </c>
      <c r="FP63" s="105"/>
      <c r="FQ63" s="104">
        <f>BQ63-BS63</f>
        <v>280097.18000000343</v>
      </c>
      <c r="FR63" s="105"/>
      <c r="FS63" s="104">
        <f>BS63</f>
        <v>-5087974.9199999981</v>
      </c>
      <c r="FT63" s="105"/>
      <c r="FU63" s="104">
        <f>BU63-BW63</f>
        <v>2595576.1199999992</v>
      </c>
      <c r="FV63" s="105"/>
      <c r="FW63" s="104">
        <f>BW63-BY63</f>
        <v>-5314590.9599999897</v>
      </c>
      <c r="FX63" s="105"/>
      <c r="FY63" s="104">
        <f>BY63-CA63</f>
        <v>-720750.50000000186</v>
      </c>
      <c r="FZ63" s="105"/>
      <c r="GA63" s="104">
        <f>CA63</f>
        <v>-8329753.6099999994</v>
      </c>
      <c r="GB63" s="105"/>
      <c r="GC63" s="104">
        <f>CC63-CE63</f>
        <v>5902650.7000000067</v>
      </c>
      <c r="GD63" s="105"/>
      <c r="GE63" s="104">
        <f>CE63-CG63</f>
        <v>9541908.1966973394</v>
      </c>
      <c r="GF63" s="105"/>
      <c r="GG63" s="104">
        <f>CG63-CI63</f>
        <v>-8653223.656697344</v>
      </c>
      <c r="GH63" s="105"/>
      <c r="GI63" s="104">
        <f>CI63</f>
        <v>-17349292.970000003</v>
      </c>
      <c r="GJ63" s="105"/>
      <c r="GK63" s="104">
        <f>CK63-CM63</f>
        <v>18923348.765671361</v>
      </c>
      <c r="GL63" s="105"/>
      <c r="GM63" s="104">
        <f>CM63-CO63</f>
        <v>-5941751.5375999901</v>
      </c>
      <c r="GN63" s="105"/>
      <c r="GO63" s="104">
        <f>CO63-CQ63</f>
        <v>-1121392.8363195416</v>
      </c>
      <c r="GP63" s="105"/>
      <c r="GQ63" s="104">
        <f>CQ63</f>
        <v>-14311165.419771291</v>
      </c>
      <c r="GR63" s="105"/>
      <c r="GS63" s="104">
        <f>CS63-CU63</f>
        <v>32038497.50577531</v>
      </c>
      <c r="GT63" s="105"/>
      <c r="GU63" s="104">
        <f>CU63-CW63</f>
        <v>23710.831799987704</v>
      </c>
    </row>
    <row r="64" spans="1:203">
      <c r="A64" s="98"/>
      <c r="C64" s="29"/>
      <c r="E64" s="29"/>
      <c r="G64" s="29"/>
      <c r="I64" s="29"/>
      <c r="K64" s="29"/>
      <c r="M64" s="29"/>
      <c r="O64" s="29"/>
      <c r="Q64" s="29"/>
      <c r="S64" s="29"/>
      <c r="U64" s="29"/>
      <c r="W64" s="29"/>
      <c r="Y64" s="29"/>
      <c r="AA64" s="29"/>
      <c r="AC64" s="29"/>
      <c r="AE64" s="29"/>
      <c r="AG64" s="29"/>
      <c r="AI64" s="29"/>
      <c r="AK64" s="29"/>
      <c r="AM64" s="29"/>
      <c r="AO64" s="29"/>
      <c r="AQ64" s="29"/>
      <c r="AS64" s="29"/>
      <c r="AU64" s="29"/>
      <c r="AW64" s="29"/>
      <c r="AY64" s="29"/>
      <c r="BA64" s="29"/>
      <c r="BC64" s="29"/>
      <c r="BE64" s="29"/>
      <c r="BG64" s="29"/>
      <c r="BI64" s="29"/>
      <c r="BK64" s="29"/>
      <c r="BM64" s="29"/>
      <c r="BO64" s="29"/>
      <c r="BQ64" s="29"/>
      <c r="BS64" s="29"/>
      <c r="BU64" s="29"/>
      <c r="BW64" s="29"/>
      <c r="BY64" s="29"/>
      <c r="CA64" s="29"/>
      <c r="CC64" s="29"/>
      <c r="CE64" s="29"/>
      <c r="CG64" s="29"/>
      <c r="CI64" s="29">
        <v>0</v>
      </c>
      <c r="CK64" s="29"/>
      <c r="CM64" s="29"/>
      <c r="CO64" s="29">
        <v>0</v>
      </c>
      <c r="CQ64" s="29">
        <v>0</v>
      </c>
      <c r="CS64" s="29">
        <v>0</v>
      </c>
      <c r="CU64" s="29">
        <v>0</v>
      </c>
      <c r="CW64" s="29">
        <v>0</v>
      </c>
      <c r="CY64" s="29"/>
      <c r="DA64" s="29"/>
      <c r="DC64" s="29"/>
      <c r="DE64" s="29"/>
      <c r="DG64" s="29"/>
      <c r="DI64" s="29"/>
      <c r="DK64" s="29"/>
      <c r="DM64" s="29"/>
      <c r="DO64" s="29"/>
      <c r="DQ64" s="29"/>
      <c r="DY64" s="29"/>
      <c r="EG64" s="29"/>
      <c r="EO64" s="29"/>
    </row>
    <row r="65" spans="1:203">
      <c r="A65" s="38" t="s">
        <v>136</v>
      </c>
      <c r="C65" s="29"/>
      <c r="E65" s="29"/>
      <c r="G65" s="29"/>
      <c r="I65" s="29">
        <f>K67</f>
        <v>65502894.639999956</v>
      </c>
      <c r="K65" s="29">
        <f>M65</f>
        <v>39769807.279999979</v>
      </c>
      <c r="M65" s="29">
        <f>O65</f>
        <v>39769807.279999979</v>
      </c>
      <c r="O65" s="29">
        <f>Q65</f>
        <v>39769807.279999979</v>
      </c>
      <c r="Q65" s="29">
        <f>S67</f>
        <v>39769807.279999979</v>
      </c>
      <c r="S65" s="29">
        <f>U65</f>
        <v>7673872.4300000016</v>
      </c>
      <c r="U65" s="29">
        <f>W65</f>
        <v>7673872.4300000016</v>
      </c>
      <c r="W65" s="29">
        <f>Y65</f>
        <v>7673872.4300000016</v>
      </c>
      <c r="Y65" s="29">
        <f>AA67</f>
        <v>7673872.4300000016</v>
      </c>
      <c r="AA65" s="29">
        <f>AC65</f>
        <v>16928851.170000013</v>
      </c>
      <c r="AC65" s="29">
        <f>AE65</f>
        <v>16928851.170000013</v>
      </c>
      <c r="AE65" s="29">
        <f>AG65</f>
        <v>16928851.170000013</v>
      </c>
      <c r="AG65" s="29">
        <f>AI67</f>
        <v>16928851.170000013</v>
      </c>
      <c r="AI65" s="29">
        <f>$AQ67</f>
        <v>9487992.8200000133</v>
      </c>
      <c r="AK65" s="29">
        <f>$AQ67</f>
        <v>9487992.8200000133</v>
      </c>
      <c r="AM65" s="29">
        <f>$AQ67</f>
        <v>9487992.8200000133</v>
      </c>
      <c r="AO65" s="29">
        <f>AQ67</f>
        <v>9487992.8200000133</v>
      </c>
      <c r="AQ65" s="29">
        <f>AS65</f>
        <v>7069701.5500000194</v>
      </c>
      <c r="AS65" s="29">
        <f>AU65</f>
        <v>7069701.5500000194</v>
      </c>
      <c r="AU65" s="29">
        <f>AW65</f>
        <v>7069701.5500000194</v>
      </c>
      <c r="AW65" s="29">
        <f>AY67</f>
        <v>7069701.5500000194</v>
      </c>
      <c r="AY65" s="29">
        <f>BA65</f>
        <v>4302201.47</v>
      </c>
      <c r="BA65" s="29">
        <f>BC65</f>
        <v>4302201.47</v>
      </c>
      <c r="BC65" s="29">
        <f>BE65</f>
        <v>4302201.47</v>
      </c>
      <c r="BE65" s="29">
        <f>BG67</f>
        <v>4302201.47</v>
      </c>
      <c r="BG65" s="29">
        <v>7665015.6699999999</v>
      </c>
      <c r="BI65" s="29">
        <v>7665015.6699999999</v>
      </c>
      <c r="BK65" s="29">
        <f>BM65</f>
        <v>7665015.6699999999</v>
      </c>
      <c r="BM65" s="29">
        <v>7665015.6699999999</v>
      </c>
      <c r="BO65" s="29">
        <f>$BU$67</f>
        <v>7665015.6700000092</v>
      </c>
      <c r="BQ65" s="29">
        <f>$BU$67</f>
        <v>7665015.6700000092</v>
      </c>
      <c r="BS65" s="29">
        <f>BU67</f>
        <v>7665015.6700000092</v>
      </c>
      <c r="BU65" s="29">
        <f>CC67</f>
        <v>19434534.620000001</v>
      </c>
      <c r="BW65" s="29">
        <f>CC67</f>
        <v>19434534.620000001</v>
      </c>
      <c r="BY65" s="29">
        <f>CC67</f>
        <v>19434534.620000001</v>
      </c>
      <c r="CA65" s="29">
        <f>CC67</f>
        <v>19434534.620000001</v>
      </c>
      <c r="CC65" s="29">
        <v>29992492.350000001</v>
      </c>
      <c r="CE65" s="29">
        <v>29992492.350000001</v>
      </c>
      <c r="CG65" s="29">
        <v>29992492.350000001</v>
      </c>
      <c r="CI65" s="29">
        <v>29992492.350000001</v>
      </c>
      <c r="CK65" s="29">
        <v>32443453.379999999</v>
      </c>
      <c r="CM65" s="29">
        <v>32443453.379999999</v>
      </c>
      <c r="CO65" s="29">
        <v>32443453.379999999</v>
      </c>
      <c r="CQ65" s="29">
        <v>32443453.379999999</v>
      </c>
      <c r="CS65" s="29">
        <v>12205809.65</v>
      </c>
      <c r="CU65" s="29">
        <v>12205809.65</v>
      </c>
      <c r="CW65" s="29">
        <v>12205809.65</v>
      </c>
      <c r="CY65" s="29"/>
      <c r="DA65" s="29"/>
      <c r="DC65" s="29"/>
      <c r="DD65" s="5"/>
      <c r="DE65" s="29"/>
      <c r="DF65" s="5"/>
      <c r="DG65" s="29"/>
      <c r="DH65" s="5"/>
      <c r="DI65" s="29">
        <f>DK67</f>
        <v>65502894.639999941</v>
      </c>
      <c r="DJ65" s="5"/>
      <c r="DK65" s="29">
        <f>DM67</f>
        <v>56617530.139999986</v>
      </c>
      <c r="DL65" s="5"/>
      <c r="DM65" s="29">
        <f>DO67</f>
        <v>54260387.969999969</v>
      </c>
      <c r="DN65" s="5"/>
      <c r="DO65" s="29">
        <f>DQ67</f>
        <v>118325881.59999993</v>
      </c>
      <c r="DP65" s="5"/>
      <c r="DQ65" s="29">
        <f>DS67</f>
        <v>39769807.279999964</v>
      </c>
      <c r="DR65" s="5"/>
      <c r="DS65" s="29">
        <f>DU67</f>
        <v>7526213.8899999913</v>
      </c>
      <c r="DT65" s="5"/>
      <c r="DU65" s="29">
        <f>DW67</f>
        <v>12636918.48</v>
      </c>
      <c r="DV65" s="5"/>
      <c r="DW65" s="29">
        <f>DY67</f>
        <v>21281142.109999999</v>
      </c>
      <c r="DX65" s="5"/>
      <c r="DY65" s="29">
        <f>EA67</f>
        <v>7673872.4299999978</v>
      </c>
      <c r="DZ65" s="5"/>
      <c r="EA65" s="29">
        <f>EC67</f>
        <v>8972876.2400000039</v>
      </c>
      <c r="EB65" s="5"/>
      <c r="EC65" s="29">
        <f>EE67</f>
        <v>7286091.1300000027</v>
      </c>
      <c r="ED65" s="5"/>
      <c r="EE65" s="29">
        <f>EG67</f>
        <v>30355823.840000018</v>
      </c>
      <c r="EF65" s="5"/>
      <c r="EG65" s="29">
        <f>EI67</f>
        <v>16928851.170000009</v>
      </c>
      <c r="EH65" s="5"/>
      <c r="EI65" s="29">
        <f>EK67</f>
        <v>12155256.510000013</v>
      </c>
      <c r="EJ65" s="5"/>
      <c r="EK65" s="29">
        <f>EM67</f>
        <v>13052525.870000005</v>
      </c>
      <c r="EL65" s="5"/>
      <c r="EM65" s="29">
        <f>EO67</f>
        <v>20521793.330000017</v>
      </c>
      <c r="EN65" s="5"/>
      <c r="EO65" s="29">
        <f>EQ67</f>
        <v>9487992.8200000133</v>
      </c>
      <c r="EP65" s="5"/>
      <c r="EQ65" s="29">
        <f>ES67</f>
        <v>5846937.7299999986</v>
      </c>
      <c r="ER65" s="5"/>
      <c r="ES65" s="29">
        <f>EU67</f>
        <v>3929845.8900000006</v>
      </c>
      <c r="ET65" s="5"/>
      <c r="EU65" s="29">
        <f>EW67</f>
        <v>16381241.4</v>
      </c>
      <c r="EV65" s="5"/>
      <c r="EW65" s="29">
        <f t="shared" ref="EW65" si="141">AW65</f>
        <v>7069701.5500000194</v>
      </c>
      <c r="EX65" s="5"/>
      <c r="EY65" s="29">
        <f>BA67</f>
        <v>3511204.83</v>
      </c>
      <c r="EZ65" s="5"/>
      <c r="FA65" s="29">
        <f>BC67</f>
        <v>14083748.569999989</v>
      </c>
      <c r="FB65" s="5"/>
      <c r="FC65" s="29">
        <f>BE67</f>
        <v>29201266.629999988</v>
      </c>
      <c r="FD65" s="5"/>
      <c r="FE65" s="29">
        <f t="shared" si="139"/>
        <v>4302201.47</v>
      </c>
      <c r="FF65" s="5"/>
      <c r="FG65" s="29">
        <f>BI67</f>
        <v>1817738.25</v>
      </c>
      <c r="FH65" s="5"/>
      <c r="FI65" s="29">
        <f>BK67</f>
        <v>1564145.9100000001</v>
      </c>
      <c r="FJ65" s="5"/>
      <c r="FK65" s="29">
        <f>BM67</f>
        <v>18858753.449999996</v>
      </c>
      <c r="FL65" s="5"/>
      <c r="FM65" s="29">
        <f>BO67</f>
        <v>5888640.3300000159</v>
      </c>
      <c r="FN65" s="5"/>
      <c r="FO65" s="29">
        <f>BQ67</f>
        <v>2857137.9300000146</v>
      </c>
      <c r="FP65" s="5"/>
      <c r="FQ65" s="29">
        <f>BS67</f>
        <v>2577040.7500000112</v>
      </c>
      <c r="FR65" s="5"/>
      <c r="FS65" s="29">
        <f>BU67</f>
        <v>7665015.6700000092</v>
      </c>
      <c r="FT65" s="5"/>
      <c r="FU65" s="29">
        <f>BW67</f>
        <v>5069439.5500000101</v>
      </c>
      <c r="FV65" s="5"/>
      <c r="FW65" s="29">
        <f>BY67</f>
        <v>10384030.51</v>
      </c>
      <c r="FX65" s="5"/>
      <c r="FY65" s="29">
        <f>CA67</f>
        <v>11104781.010000002</v>
      </c>
      <c r="FZ65" s="5"/>
      <c r="GA65" s="29">
        <f>CC67</f>
        <v>19434534.620000001</v>
      </c>
      <c r="GB65" s="5"/>
      <c r="GC65" s="29">
        <f>CE67</f>
        <v>13531883.919999994</v>
      </c>
      <c r="GD65" s="5"/>
      <c r="GE65" s="29">
        <f>CG67</f>
        <v>3989975.7233026549</v>
      </c>
      <c r="GF65" s="5"/>
      <c r="GG65" s="29">
        <f>CI67</f>
        <v>12643199.379999999</v>
      </c>
      <c r="GH65" s="5"/>
      <c r="GI65" s="29">
        <f>CK67</f>
        <v>29992492.351980537</v>
      </c>
      <c r="GJ65" s="5"/>
      <c r="GK65" s="29">
        <f>CM67</f>
        <v>11069143.586309176</v>
      </c>
      <c r="GL65" s="5"/>
      <c r="GM65" s="29">
        <f>CO67</f>
        <v>17010895.123909168</v>
      </c>
      <c r="GN65" s="5"/>
      <c r="GO65" s="29">
        <f>CQ67</f>
        <v>18132287.960228708</v>
      </c>
      <c r="GP65" s="5"/>
      <c r="GQ65" s="29">
        <f>CS67</f>
        <v>32443453.379999995</v>
      </c>
      <c r="GR65" s="5"/>
      <c r="GS65" s="29">
        <f>CU67</f>
        <v>404955.874224687</v>
      </c>
      <c r="GT65" s="5"/>
      <c r="GU65" s="29">
        <f>CW67</f>
        <v>381245.04242469929</v>
      </c>
    </row>
    <row r="66" spans="1:203">
      <c r="A66" s="38" t="s">
        <v>137</v>
      </c>
      <c r="C66" s="29"/>
      <c r="E66" s="29"/>
      <c r="G66" s="29"/>
      <c r="I66" s="29"/>
      <c r="K66" s="29"/>
      <c r="M66" s="29"/>
      <c r="O66" s="29"/>
      <c r="Q66" s="29"/>
      <c r="S66" s="29"/>
      <c r="U66" s="29"/>
      <c r="W66" s="29"/>
      <c r="Y66" s="29"/>
      <c r="AA66" s="29"/>
      <c r="AC66" s="29"/>
      <c r="AE66" s="29"/>
      <c r="AG66" s="29"/>
      <c r="AI66" s="29"/>
      <c r="AK66" s="29"/>
      <c r="AM66" s="29"/>
      <c r="AO66" s="29"/>
      <c r="AQ66" s="29"/>
      <c r="AS66" s="29"/>
      <c r="AU66" s="29"/>
      <c r="AW66" s="29"/>
      <c r="AY66" s="29"/>
      <c r="BA66" s="29"/>
      <c r="BC66" s="29"/>
      <c r="BE66" s="29"/>
      <c r="BG66" s="29"/>
      <c r="BI66" s="29"/>
      <c r="BK66" s="29"/>
      <c r="BM66" s="29"/>
      <c r="BO66" s="29"/>
      <c r="BQ66" s="29"/>
      <c r="BS66" s="29"/>
      <c r="BU66" s="29"/>
      <c r="BW66" s="29"/>
      <c r="BY66" s="29"/>
      <c r="CA66" s="29"/>
      <c r="CC66" s="29"/>
      <c r="CE66" s="29"/>
      <c r="CG66" s="29"/>
      <c r="CI66" s="29">
        <v>0</v>
      </c>
      <c r="CK66" s="29"/>
      <c r="CM66" s="29"/>
      <c r="CO66" s="29">
        <v>0</v>
      </c>
      <c r="CQ66" s="29">
        <v>0</v>
      </c>
      <c r="CS66" s="29">
        <v>0</v>
      </c>
      <c r="CU66" s="29">
        <v>0</v>
      </c>
      <c r="CW66" s="29">
        <v>0</v>
      </c>
      <c r="CY66" s="29"/>
      <c r="DA66" s="29"/>
      <c r="DC66" s="29"/>
      <c r="DE66" s="29"/>
      <c r="DG66" s="29"/>
      <c r="DI66" s="29"/>
      <c r="DK66" s="29"/>
      <c r="DM66" s="29"/>
      <c r="DO66" s="29"/>
      <c r="DQ66" s="29"/>
      <c r="DY66" s="29"/>
      <c r="EG66" s="29"/>
      <c r="EO66" s="29"/>
    </row>
    <row r="67" spans="1:203" s="39" customFormat="1" ht="13">
      <c r="A67" s="37" t="s">
        <v>138</v>
      </c>
      <c r="B67" s="171"/>
      <c r="C67" s="104"/>
      <c r="D67" s="171"/>
      <c r="E67" s="104"/>
      <c r="F67" s="105"/>
      <c r="G67" s="104"/>
      <c r="H67" s="105"/>
      <c r="I67" s="104">
        <f>I63+I65</f>
        <v>162979675.36999997</v>
      </c>
      <c r="J67" s="171"/>
      <c r="K67" s="104">
        <f>K63+K65</f>
        <v>65502894.639999956</v>
      </c>
      <c r="L67" s="171"/>
      <c r="M67" s="104">
        <f>M63+M65</f>
        <v>56617530.140000001</v>
      </c>
      <c r="N67" s="105"/>
      <c r="O67" s="104">
        <f>O63+O65</f>
        <v>54260387.969999969</v>
      </c>
      <c r="P67" s="105"/>
      <c r="Q67" s="192">
        <f>Q63+Q65</f>
        <v>118325881.59999996</v>
      </c>
      <c r="R67" s="171"/>
      <c r="S67" s="192">
        <f>S63+S65</f>
        <v>39769807.279999979</v>
      </c>
      <c r="T67" s="171"/>
      <c r="U67" s="192">
        <f>U63+U65</f>
        <v>7526213.8899999987</v>
      </c>
      <c r="V67" s="105"/>
      <c r="W67" s="104">
        <f>W63+W65</f>
        <v>12636918.480000004</v>
      </c>
      <c r="X67" s="105"/>
      <c r="Y67" s="104">
        <f>Y63+Y65</f>
        <v>21281142.110000003</v>
      </c>
      <c r="Z67" s="105"/>
      <c r="AA67" s="192">
        <f>AA63+AA65</f>
        <v>7673872.4300000016</v>
      </c>
      <c r="AB67" s="171"/>
      <c r="AC67" s="192">
        <f>AC63+AC65</f>
        <v>8972876.2400000058</v>
      </c>
      <c r="AD67" s="105"/>
      <c r="AE67" s="104">
        <f>AE63+AE65</f>
        <v>7286091.1300000045</v>
      </c>
      <c r="AF67" s="105"/>
      <c r="AG67" s="104">
        <f>AG63+AG65</f>
        <v>30355823.840000018</v>
      </c>
      <c r="AH67" s="105"/>
      <c r="AI67" s="104">
        <f>AI63+AI65</f>
        <v>16928851.170000013</v>
      </c>
      <c r="AJ67" s="105"/>
      <c r="AK67" s="104">
        <f>AK63+AK65</f>
        <v>12155256.510000011</v>
      </c>
      <c r="AL67" s="105"/>
      <c r="AM67" s="104">
        <f>AM63+AM65</f>
        <v>13052525.870000005</v>
      </c>
      <c r="AN67" s="105"/>
      <c r="AO67" s="104">
        <f>AO63+AO65</f>
        <v>20521793.330000017</v>
      </c>
      <c r="AP67" s="105"/>
      <c r="AQ67" s="104">
        <f>AQ63+AQ65</f>
        <v>9487992.8200000133</v>
      </c>
      <c r="AR67" s="105"/>
      <c r="AS67" s="104">
        <f>AS63+AS65</f>
        <v>5846937.7299999986</v>
      </c>
      <c r="AT67" s="105"/>
      <c r="AU67" s="104">
        <f>AU63+AU65</f>
        <v>3929845.89</v>
      </c>
      <c r="AV67" s="105"/>
      <c r="AW67" s="104">
        <f>AW63+AW65</f>
        <v>16381241.4</v>
      </c>
      <c r="AX67" s="105"/>
      <c r="AY67" s="104">
        <f>AY63+AY65</f>
        <v>7069701.5500000194</v>
      </c>
      <c r="AZ67" s="105"/>
      <c r="BA67" s="104">
        <f>BA63+BA65</f>
        <v>3511204.83</v>
      </c>
      <c r="BB67" s="105"/>
      <c r="BC67" s="104">
        <f>BC63+BC65</f>
        <v>14083748.569999989</v>
      </c>
      <c r="BD67" s="105"/>
      <c r="BE67" s="104">
        <f>BE63+BE65</f>
        <v>29201266.629999988</v>
      </c>
      <c r="BF67" s="105"/>
      <c r="BG67" s="104">
        <f>BG63+BG65</f>
        <v>4302201.47</v>
      </c>
      <c r="BH67" s="105"/>
      <c r="BI67" s="104">
        <f>BI63+BI65</f>
        <v>1817738.25</v>
      </c>
      <c r="BJ67" s="105"/>
      <c r="BK67" s="104">
        <f>BK63+BK65</f>
        <v>1564145.9100000001</v>
      </c>
      <c r="BL67" s="105"/>
      <c r="BM67" s="104">
        <f>BM63+BM65</f>
        <v>18858753.449999996</v>
      </c>
      <c r="BN67" s="105"/>
      <c r="BO67" s="104">
        <f>BO63+BO65</f>
        <v>5888640.3300000159</v>
      </c>
      <c r="BP67" s="105"/>
      <c r="BQ67" s="104">
        <f>BQ63+BQ65</f>
        <v>2857137.9300000146</v>
      </c>
      <c r="BR67" s="105"/>
      <c r="BS67" s="104">
        <f>BS63+BS65</f>
        <v>2577040.7500000112</v>
      </c>
      <c r="BT67" s="105"/>
      <c r="BU67" s="104">
        <f>BU63+BU65</f>
        <v>7665015.6700000092</v>
      </c>
      <c r="BV67" s="105"/>
      <c r="BW67" s="104">
        <f>BW63+BW65</f>
        <v>5069439.5500000101</v>
      </c>
      <c r="BX67" s="105"/>
      <c r="BY67" s="104">
        <f>BY63+BY65</f>
        <v>10384030.51</v>
      </c>
      <c r="BZ67" s="105"/>
      <c r="CA67" s="104">
        <f>CA63+CA65</f>
        <v>11104781.010000002</v>
      </c>
      <c r="CB67" s="105"/>
      <c r="CC67" s="104">
        <f>CC63+CC65</f>
        <v>19434534.620000001</v>
      </c>
      <c r="CD67" s="105"/>
      <c r="CE67" s="104">
        <f>CE63+CE65</f>
        <v>13531883.919999994</v>
      </c>
      <c r="CF67" s="105"/>
      <c r="CG67" s="104">
        <f>CG63+CG65</f>
        <v>3989975.7233026549</v>
      </c>
      <c r="CH67" s="105"/>
      <c r="CI67" s="104">
        <f>CI63+CI65</f>
        <v>12643199.379999999</v>
      </c>
      <c r="CJ67" s="105"/>
      <c r="CK67" s="104">
        <f>SUM(CK63:CK66)</f>
        <v>29992492.351980537</v>
      </c>
      <c r="CL67" s="105"/>
      <c r="CM67" s="104">
        <f>CM63+CM65</f>
        <v>11069143.586309176</v>
      </c>
      <c r="CN67" s="105"/>
      <c r="CO67" s="104">
        <f>SUM(CO63:CO66)</f>
        <v>17010895.123909168</v>
      </c>
      <c r="CP67" s="105"/>
      <c r="CQ67" s="104">
        <f>CQ63+CQ65</f>
        <v>18132287.960228708</v>
      </c>
      <c r="CR67" s="105"/>
      <c r="CS67" s="104">
        <f>SUM(CS63:CS66)</f>
        <v>32443453.379999995</v>
      </c>
      <c r="CT67" s="105"/>
      <c r="CU67" s="104">
        <f>SUM(CU63:CU66)</f>
        <v>404955.874224687</v>
      </c>
      <c r="CV67" s="105"/>
      <c r="CW67" s="104">
        <f>SUM(CW63:CW66)</f>
        <v>381245.04242469929</v>
      </c>
      <c r="CX67" s="105"/>
      <c r="CY67" s="104"/>
      <c r="CZ67" s="105"/>
      <c r="DA67" s="104"/>
      <c r="DB67" s="94"/>
      <c r="DC67" s="104"/>
      <c r="DD67" s="105"/>
      <c r="DE67" s="104"/>
      <c r="DF67" s="105"/>
      <c r="DG67" s="104"/>
      <c r="DH67" s="105"/>
      <c r="DI67" s="104">
        <f>DI63+DI65</f>
        <v>162979675.36999995</v>
      </c>
      <c r="DJ67" s="105"/>
      <c r="DK67" s="104">
        <f>DK63+DK65</f>
        <v>65502894.639999941</v>
      </c>
      <c r="DL67" s="105"/>
      <c r="DM67" s="104">
        <f>DM63+DM65</f>
        <v>56617530.139999986</v>
      </c>
      <c r="DN67" s="105"/>
      <c r="DO67" s="104">
        <f>DO63+DO65</f>
        <v>54260387.969999969</v>
      </c>
      <c r="DP67" s="105"/>
      <c r="DQ67" s="104">
        <f>DQ63+DQ65</f>
        <v>118325881.59999993</v>
      </c>
      <c r="DR67" s="105"/>
      <c r="DS67" s="104">
        <f>DS63+DS65</f>
        <v>39769807.279999964</v>
      </c>
      <c r="DT67" s="105"/>
      <c r="DU67" s="104">
        <f>DU63+DU65</f>
        <v>7526213.8899999913</v>
      </c>
      <c r="DV67" s="105"/>
      <c r="DW67" s="104">
        <f>DW63+DW65</f>
        <v>12636918.48</v>
      </c>
      <c r="DX67" s="105"/>
      <c r="DY67" s="104">
        <f>DY63+DY65</f>
        <v>21281142.109999999</v>
      </c>
      <c r="DZ67" s="105"/>
      <c r="EA67" s="104">
        <f>EA63+EA65</f>
        <v>7673872.4299999978</v>
      </c>
      <c r="EB67" s="105"/>
      <c r="EC67" s="104">
        <f>EC63+EC65</f>
        <v>8972876.2400000039</v>
      </c>
      <c r="ED67" s="105"/>
      <c r="EE67" s="104">
        <f>EE63+EE65</f>
        <v>7286091.1300000027</v>
      </c>
      <c r="EF67" s="105"/>
      <c r="EG67" s="104">
        <f>EG63+EG65</f>
        <v>30355823.840000018</v>
      </c>
      <c r="EH67" s="105"/>
      <c r="EI67" s="104">
        <f>EI63+EI65</f>
        <v>16928851.170000009</v>
      </c>
      <c r="EJ67" s="105"/>
      <c r="EK67" s="104">
        <f>EK63+EK65</f>
        <v>12155256.510000013</v>
      </c>
      <c r="EL67" s="105"/>
      <c r="EM67" s="104">
        <f>EM63+EM65</f>
        <v>13052525.870000005</v>
      </c>
      <c r="EN67" s="105"/>
      <c r="EO67" s="104">
        <f>EO63+EO65</f>
        <v>20521793.330000017</v>
      </c>
      <c r="EP67" s="105"/>
      <c r="EQ67" s="104">
        <f>EQ63+EQ65</f>
        <v>9487992.8200000133</v>
      </c>
      <c r="ER67" s="105"/>
      <c r="ES67" s="104">
        <f>ES63+ES65</f>
        <v>5846937.7299999986</v>
      </c>
      <c r="ET67" s="105"/>
      <c r="EU67" s="104">
        <f>EU63+EU65</f>
        <v>3929845.8900000006</v>
      </c>
      <c r="EV67" s="105"/>
      <c r="EW67" s="104">
        <f t="shared" ref="EW67" si="142">AW67</f>
        <v>16381241.4</v>
      </c>
      <c r="EX67" s="105"/>
      <c r="EY67" s="104">
        <f>EY63+EY65</f>
        <v>7069701.5500000203</v>
      </c>
      <c r="EZ67" s="105"/>
      <c r="FA67" s="104">
        <f>FA63+FA65</f>
        <v>3511204.8299999982</v>
      </c>
      <c r="FB67" s="105"/>
      <c r="FC67" s="104">
        <f>FC63+FC65</f>
        <v>14083748.569999989</v>
      </c>
      <c r="FD67" s="105"/>
      <c r="FE67" s="104">
        <f t="shared" si="139"/>
        <v>29201266.629999988</v>
      </c>
      <c r="FF67" s="105"/>
      <c r="FG67" s="104">
        <f>FG63+FG65</f>
        <v>4302201.469999996</v>
      </c>
      <c r="FH67" s="105"/>
      <c r="FI67" s="104">
        <f>FI63+FI65</f>
        <v>1817738.25</v>
      </c>
      <c r="FJ67" s="105"/>
      <c r="FK67" s="104">
        <f>FK63+FK65</f>
        <v>1564145.9099999964</v>
      </c>
      <c r="FL67" s="105"/>
      <c r="FM67" s="104">
        <f>FM63+FM65</f>
        <v>18858753.450000007</v>
      </c>
      <c r="FN67" s="105"/>
      <c r="FO67" s="104">
        <f>FO63+FO65</f>
        <v>5888640.3300000159</v>
      </c>
      <c r="FP67" s="105"/>
      <c r="FQ67" s="104">
        <f>FQ63+FQ65</f>
        <v>2857137.9300000146</v>
      </c>
      <c r="FR67" s="105"/>
      <c r="FS67" s="104">
        <f>FS63+FS65</f>
        <v>2577040.7500000112</v>
      </c>
      <c r="FT67" s="105"/>
      <c r="FU67" s="104">
        <f>FU63+FU65</f>
        <v>7665015.6700000092</v>
      </c>
      <c r="FV67" s="105"/>
      <c r="FW67" s="104">
        <f>FW63+FW65</f>
        <v>5069439.5500000101</v>
      </c>
      <c r="FX67" s="105"/>
      <c r="FY67" s="104">
        <f>FY63+FY65</f>
        <v>10384030.51</v>
      </c>
      <c r="FZ67" s="105"/>
      <c r="GA67" s="104">
        <f>GA63+GA65</f>
        <v>11104781.010000002</v>
      </c>
      <c r="GB67" s="105"/>
      <c r="GC67" s="104">
        <f>GC63+GC65</f>
        <v>19434534.620000001</v>
      </c>
      <c r="GD67" s="105"/>
      <c r="GE67" s="104">
        <f>GE63+GE65</f>
        <v>13531883.919999994</v>
      </c>
      <c r="GF67" s="105"/>
      <c r="GG67" s="104">
        <f>GG63+GG65</f>
        <v>3989975.7233026549</v>
      </c>
      <c r="GH67" s="105"/>
      <c r="GI67" s="104">
        <f>GI63+GI65</f>
        <v>12643199.381980535</v>
      </c>
      <c r="GJ67" s="105"/>
      <c r="GK67" s="104">
        <f>GK63+GK65</f>
        <v>29992492.351980537</v>
      </c>
      <c r="GL67" s="105"/>
      <c r="GM67" s="104">
        <f>GM63+GM65</f>
        <v>11069143.586309178</v>
      </c>
      <c r="GN67" s="105"/>
      <c r="GO67" s="104">
        <f>GO63+GO65</f>
        <v>17010895.123909168</v>
      </c>
      <c r="GP67" s="105"/>
      <c r="GQ67" s="104">
        <f>GQ63+GQ65</f>
        <v>18132287.960228704</v>
      </c>
      <c r="GR67" s="105"/>
      <c r="GS67" s="104">
        <f>GS63+GS65</f>
        <v>32443453.379999995</v>
      </c>
      <c r="GT67" s="105"/>
      <c r="GU67" s="104">
        <f>GU63+GU65</f>
        <v>404955.874224687</v>
      </c>
    </row>
    <row r="68" spans="1:203">
      <c r="A68" s="99"/>
    </row>
    <row r="69" spans="1:203">
      <c r="C69" s="138"/>
      <c r="E69" s="138"/>
      <c r="G69" s="138"/>
      <c r="I69" s="138">
        <f>I67-'Bilans Jednostkowy'!J35</f>
        <v>0</v>
      </c>
      <c r="K69" s="138">
        <f>K67-'Bilans Jednostkowy'!L35</f>
        <v>0</v>
      </c>
      <c r="M69" s="138">
        <f>M67-'Bilans Jednostkowy'!N35</f>
        <v>0</v>
      </c>
      <c r="O69" s="138">
        <f>O67-'Bilans Jednostkowy'!P35</f>
        <v>0</v>
      </c>
      <c r="Q69" s="138">
        <f>Q67-'Bilans Jednostkowy'!R35</f>
        <v>0</v>
      </c>
      <c r="S69" s="138">
        <f>S67-'Bilans Jednostkowy'!T35</f>
        <v>0</v>
      </c>
      <c r="U69" s="138">
        <f>U67-'Bilans Jednostkowy'!V35</f>
        <v>0</v>
      </c>
      <c r="W69" s="138">
        <f>W67-'Bilans Jednostkowy'!X35</f>
        <v>0</v>
      </c>
      <c r="Y69" s="138">
        <f>Y67-'Bilans Jednostkowy'!Z35</f>
        <v>0</v>
      </c>
      <c r="AA69" s="138">
        <f>AA67-'Bilans Jednostkowy'!AB35</f>
        <v>0</v>
      </c>
      <c r="AC69" s="138">
        <f>AC67-'Bilans Jednostkowy'!AD35</f>
        <v>0</v>
      </c>
      <c r="AE69" s="138">
        <f>AE67-'Bilans Jednostkowy'!AF35</f>
        <v>0</v>
      </c>
      <c r="AG69" s="138">
        <f>AG67-'Bilans Jednostkowy'!AH35</f>
        <v>0</v>
      </c>
      <c r="AI69" s="138">
        <f>AI67-'Bilans Jednostkowy'!AJ35</f>
        <v>0</v>
      </c>
      <c r="AK69" s="138">
        <f>AK67-'Bilans Jednostkowy'!AL35</f>
        <v>0</v>
      </c>
      <c r="AM69" s="138">
        <f>AM67-'Bilans Jednostkowy'!AN35</f>
        <v>0</v>
      </c>
      <c r="AO69" s="138">
        <f>AO67-'Bilans Jednostkowy'!AP35</f>
        <v>0</v>
      </c>
      <c r="AQ69" s="138">
        <f>AQ67-'Bilans Jednostkowy'!AR35</f>
        <v>0</v>
      </c>
      <c r="AS69" s="138">
        <f>AS67-'Bilans Jednostkowy'!AT35</f>
        <v>0</v>
      </c>
      <c r="AU69" s="138">
        <f>AU67-'Bilans Jednostkowy'!AV35</f>
        <v>0</v>
      </c>
      <c r="AW69" s="138">
        <f>AW67-'Bilans Jednostkowy'!AX35</f>
        <v>0</v>
      </c>
      <c r="AY69" s="138">
        <f>AY67-'Bilans Jednostkowy'!AZ35</f>
        <v>1.9557774066925049E-8</v>
      </c>
      <c r="BA69" s="138">
        <f>BA67-'Bilans Jednostkowy'!BB35</f>
        <v>0</v>
      </c>
      <c r="BC69" s="138">
        <f>BC67-'Bilans Jednostkowy'!BD35</f>
        <v>0</v>
      </c>
      <c r="BE69" s="138">
        <f>BE67-'Bilans Jednostkowy'!BF35</f>
        <v>0</v>
      </c>
      <c r="BG69" s="138">
        <f>BG67-'Bilans Jednostkowy'!BH35</f>
        <v>0</v>
      </c>
      <c r="BI69" s="138">
        <f>BI67-'Bilans Jednostkowy'!BJ35</f>
        <v>0</v>
      </c>
      <c r="BK69" s="138">
        <f>BK67-'Bilans Jednostkowy'!BL35</f>
        <v>0</v>
      </c>
      <c r="BM69" s="128">
        <f>BM67-'Bilans Jednostkowy'!BN35</f>
        <v>0</v>
      </c>
      <c r="BO69" s="134">
        <f>BO67-'Bilans Jednostkowy'!BP35</f>
        <v>1.5832483768463135E-8</v>
      </c>
      <c r="BP69" s="135"/>
      <c r="BQ69" s="134">
        <f>BQ67-'Bilans Jednostkowy'!BR35</f>
        <v>1.4435499906539917E-8</v>
      </c>
      <c r="BR69" s="135"/>
      <c r="BS69" s="134">
        <f>BS67-'Bilans Jednostkowy'!BT35</f>
        <v>1.1175870895385742E-8</v>
      </c>
      <c r="BT69" s="135"/>
      <c r="BU69" s="134">
        <f>BU67-'Bilans Jednostkowy'!BV35</f>
        <v>9.3132257461547852E-9</v>
      </c>
      <c r="BV69" s="135"/>
      <c r="BW69" s="134">
        <f>BW67-'Bilans Jednostkowy'!BX35</f>
        <v>1.0244548320770264E-8</v>
      </c>
      <c r="BY69" s="29">
        <f>BY67-'Bilans Jednostkowy'!BZ35</f>
        <v>0</v>
      </c>
      <c r="CA69" s="29">
        <f>CA67-'Bilans Jednostkowy'!CB35</f>
        <v>0</v>
      </c>
      <c r="CC69" s="29">
        <f>CC67-'Bilans Jednostkowy'!CD35</f>
        <v>0</v>
      </c>
      <c r="CE69" s="29">
        <f>CE67-'Bilans Jednostkowy'!CF35</f>
        <v>0</v>
      </c>
      <c r="CG69" s="29">
        <f>CG67-'Bilans Jednostkowy'!CH35</f>
        <v>3.302654717117548E-3</v>
      </c>
      <c r="CI69" s="29">
        <f>CI67-'Bilans Jednostkowy'!CJ35</f>
        <v>0</v>
      </c>
      <c r="CK69" s="29">
        <f>CK67-'Bilans Jednostkowy'!CL35</f>
        <v>1.9805356860160828E-3</v>
      </c>
      <c r="CM69" s="29">
        <f>CM67-'Bilans Jednostkowy'!CN35</f>
        <v>-3.6908239126205444E-3</v>
      </c>
      <c r="CO69" s="29">
        <f>CO67-'Bilans Jednostkowy'!CP35</f>
        <v>3.9091669023036957E-3</v>
      </c>
      <c r="CQ69" s="29">
        <f>CQ67-'Bilans Jednostkowy'!CR35</f>
        <v>1.0228708386421204E-2</v>
      </c>
      <c r="CS69" s="29">
        <f>CS67-'Bilans Jednostkowy'!CT35</f>
        <v>0</v>
      </c>
      <c r="CU69" s="29">
        <f>CU67-'Bilans Jednostkowy'!CV35</f>
        <v>4.2246869998052716E-3</v>
      </c>
      <c r="CW69" s="29">
        <f>CW67-'Bilans Jednostkowy'!CX35</f>
        <v>2.4246993125416338E-3</v>
      </c>
      <c r="CY69" s="29"/>
      <c r="DA69" s="29"/>
      <c r="DC69" s="29"/>
      <c r="DD69" s="29"/>
      <c r="DE69" s="29"/>
      <c r="DF69" s="29"/>
      <c r="DG69" s="29"/>
      <c r="DH69" s="29"/>
      <c r="DI69" s="29">
        <f>DI67-I67</f>
        <v>0</v>
      </c>
      <c r="DJ69" s="29"/>
      <c r="DK69" s="29">
        <f>DK67-K67</f>
        <v>0</v>
      </c>
      <c r="DL69" s="29"/>
      <c r="DM69" s="29">
        <f>DM67-M67</f>
        <v>0</v>
      </c>
      <c r="DN69" s="29"/>
      <c r="DO69" s="29">
        <f>DO67-O67</f>
        <v>0</v>
      </c>
      <c r="DP69" s="29"/>
      <c r="DQ69" s="29">
        <f>DQ67-Q67</f>
        <v>0</v>
      </c>
      <c r="DR69" s="29"/>
      <c r="DS69" s="29">
        <f>DS67-S67</f>
        <v>0</v>
      </c>
      <c r="DT69" s="29"/>
      <c r="DU69" s="29">
        <f>DU67-U67</f>
        <v>-7.4505805969238281E-9</v>
      </c>
      <c r="DV69" s="29"/>
      <c r="DW69" s="29">
        <f>DW67-W67</f>
        <v>0</v>
      </c>
      <c r="DX69" s="29"/>
      <c r="DY69" s="29">
        <f>DY67-Y67</f>
        <v>0</v>
      </c>
      <c r="DZ69" s="29"/>
      <c r="EA69" s="29">
        <f>EA67-AA67</f>
        <v>0</v>
      </c>
      <c r="EB69" s="29"/>
      <c r="EC69" s="29">
        <f>EC67-AC67</f>
        <v>0</v>
      </c>
      <c r="ED69" s="29"/>
      <c r="EE69" s="29">
        <f>EE67-AE67</f>
        <v>0</v>
      </c>
      <c r="EF69" s="29"/>
      <c r="EG69" s="29">
        <f>EG67-AG67</f>
        <v>0</v>
      </c>
      <c r="EH69" s="29"/>
      <c r="EI69" s="29">
        <f>EI67-AI67</f>
        <v>0</v>
      </c>
      <c r="EJ69" s="29"/>
      <c r="EK69" s="29">
        <f>EK67-AK67</f>
        <v>0</v>
      </c>
      <c r="EL69" s="29"/>
      <c r="EM69" s="29">
        <f>EM67-AM67</f>
        <v>0</v>
      </c>
      <c r="EN69" s="29"/>
      <c r="EO69" s="29">
        <f>EO67-AO67</f>
        <v>0</v>
      </c>
      <c r="EP69" s="29"/>
      <c r="EQ69" s="29">
        <f>EQ67-AQ67</f>
        <v>0</v>
      </c>
      <c r="ER69" s="29"/>
      <c r="ES69" s="29">
        <f>ES67-AS67</f>
        <v>0</v>
      </c>
      <c r="ET69" s="29"/>
      <c r="EU69" s="29">
        <f>EU67-AU67</f>
        <v>0</v>
      </c>
      <c r="EV69" s="29"/>
      <c r="EW69" s="29">
        <f>EW67-AW67</f>
        <v>0</v>
      </c>
      <c r="EX69" s="29"/>
      <c r="EY69" s="29">
        <f>EY67-AY67</f>
        <v>0</v>
      </c>
      <c r="EZ69" s="29"/>
      <c r="FA69" s="29">
        <f>FA67-BA67</f>
        <v>0</v>
      </c>
      <c r="FB69" s="29"/>
      <c r="FC69" s="29">
        <f>FC67-BC67</f>
        <v>0</v>
      </c>
      <c r="FD69" s="29"/>
      <c r="FE69" s="29">
        <f>FE67-BE67</f>
        <v>0</v>
      </c>
      <c r="FF69" s="29"/>
      <c r="FG69" s="29">
        <f>FG67-BG67</f>
        <v>0</v>
      </c>
      <c r="FH69" s="29"/>
      <c r="FI69" s="29">
        <f>FI67-BI67</f>
        <v>0</v>
      </c>
      <c r="FJ69" s="29"/>
      <c r="FK69" s="29">
        <f>FK67-BK67</f>
        <v>-3.7252902984619141E-9</v>
      </c>
      <c r="FL69" s="29"/>
      <c r="FM69" s="29">
        <f>FM67-BM67</f>
        <v>0</v>
      </c>
      <c r="FN69" s="29"/>
      <c r="FO69" s="29">
        <f>FO67-BO67</f>
        <v>0</v>
      </c>
      <c r="FP69" s="29"/>
      <c r="FQ69" s="29">
        <f>FQ67-BQ67</f>
        <v>0</v>
      </c>
      <c r="FR69" s="29"/>
      <c r="FS69" s="29">
        <f>FS67-BS67</f>
        <v>0</v>
      </c>
      <c r="FT69" s="29"/>
      <c r="FU69" s="29">
        <f>FU67-BU67</f>
        <v>0</v>
      </c>
      <c r="FV69" s="29"/>
      <c r="FW69" s="29">
        <f>FW67-BW67</f>
        <v>0</v>
      </c>
      <c r="FX69" s="29"/>
      <c r="FY69" s="29">
        <f>FY67-BY67</f>
        <v>0</v>
      </c>
      <c r="FZ69" s="29"/>
      <c r="GA69" s="29">
        <f>GA67-CA67</f>
        <v>0</v>
      </c>
      <c r="GB69" s="29"/>
      <c r="GC69" s="29">
        <f>GC67-CC67</f>
        <v>0</v>
      </c>
      <c r="GD69" s="29"/>
      <c r="GE69" s="29">
        <f>GE67-CE67</f>
        <v>0</v>
      </c>
      <c r="GF69" s="29"/>
      <c r="GG69" s="29">
        <f>GG67-CG67</f>
        <v>0</v>
      </c>
      <c r="GH69" s="29"/>
      <c r="GI69" s="29">
        <f>GI67-CI67</f>
        <v>1.9805356860160828E-3</v>
      </c>
      <c r="GJ69" s="29"/>
      <c r="GK69" s="29">
        <f>GK67-CK67</f>
        <v>0</v>
      </c>
      <c r="GL69" s="29"/>
      <c r="GM69" s="29">
        <f>GM67-CM67</f>
        <v>0</v>
      </c>
      <c r="GN69" s="29"/>
      <c r="GO69" s="29">
        <f>GO67-CO67</f>
        <v>0</v>
      </c>
      <c r="GP69" s="29"/>
      <c r="GQ69" s="29">
        <f>GQ67-CQ67</f>
        <v>0</v>
      </c>
      <c r="GR69" s="29"/>
      <c r="GS69" s="29">
        <f>GS67-CS67</f>
        <v>0</v>
      </c>
      <c r="GT69" s="29"/>
      <c r="GU69" s="29">
        <f>GU67-CU67</f>
        <v>0</v>
      </c>
    </row>
    <row r="70" spans="1:203">
      <c r="GQ70" s="40"/>
    </row>
    <row r="71" spans="1:203">
      <c r="AY71" s="175"/>
      <c r="CQ71" s="29"/>
    </row>
    <row r="74" spans="1:203">
      <c r="I74" s="40"/>
      <c r="Q74" s="40"/>
      <c r="Y74" s="40"/>
    </row>
    <row r="78" spans="1:203" s="29" customFormat="1">
      <c r="DB78" s="93"/>
    </row>
    <row r="79" spans="1:203" s="29" customFormat="1">
      <c r="DB79" s="93"/>
    </row>
    <row r="80" spans="1:203" s="29" customFormat="1">
      <c r="DB80" s="93"/>
    </row>
    <row r="81" spans="106:106" s="29" customFormat="1">
      <c r="DB81" s="93"/>
    </row>
    <row r="82" spans="106:106" s="29" customFormat="1">
      <c r="DB82" s="93"/>
    </row>
    <row r="83" spans="106:106" s="29" customFormat="1">
      <c r="DB83" s="93"/>
    </row>
    <row r="84" spans="106:106" s="29" customFormat="1">
      <c r="DB84" s="93"/>
    </row>
    <row r="85" spans="106:106" s="29" customFormat="1">
      <c r="DB85" s="93"/>
    </row>
    <row r="86" spans="106:106" s="29" customFormat="1">
      <c r="DB86" s="93"/>
    </row>
    <row r="87" spans="106:106" s="29" customFormat="1">
      <c r="DB87" s="93"/>
    </row>
    <row r="88" spans="106:106" s="29" customFormat="1">
      <c r="DB88" s="93"/>
    </row>
    <row r="89" spans="106:106" s="29" customFormat="1">
      <c r="DB89" s="93"/>
    </row>
    <row r="90" spans="106:106" s="29" customFormat="1">
      <c r="DB90" s="93"/>
    </row>
  </sheetData>
  <mergeCells count="1"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10</vt:i4>
      </vt:variant>
      <vt:variant>
        <vt:lpstr>Nazwane zakresy</vt:lpstr>
      </vt:variant>
      <vt:variant>
        <vt:i4>3</vt:i4>
      </vt:variant>
    </vt:vector>
  </HeadingPairs>
  <TitlesOfParts>
    <vt:vector size="13" baseType="lpstr">
      <vt:lpstr>Bilans Skonsol</vt:lpstr>
      <vt:lpstr>Rachunek Skonsol</vt:lpstr>
      <vt:lpstr>P&amp;L Segm 09.2014</vt:lpstr>
      <vt:lpstr>P&amp;L Segm</vt:lpstr>
      <vt:lpstr>P&amp;L Segm 2011-2013</vt:lpstr>
      <vt:lpstr>C-F Skonsol</vt:lpstr>
      <vt:lpstr>Segmenty</vt:lpstr>
      <vt:lpstr>Bilans Jednostkowy</vt:lpstr>
      <vt:lpstr>Rachunek jednostkowy</vt:lpstr>
      <vt:lpstr>C-F Jednostkowy</vt:lpstr>
      <vt:lpstr>'Bilans Jednostkowy'!Obszar_wydruku</vt:lpstr>
      <vt:lpstr>'Bilans Skonsol'!Obszar_wydruku</vt:lpstr>
      <vt:lpstr>'Rachunek Skonsol'!Obszar_wydruku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Romuald Harwas</dc:creator>
  <cp:lastModifiedBy>Magdalena Kowalewska</cp:lastModifiedBy>
  <dcterms:created xsi:type="dcterms:W3CDTF">2014-11-25T08:03:58Z</dcterms:created>
  <dcterms:modified xsi:type="dcterms:W3CDTF">2025-02-05T10:16:10Z</dcterms:modified>
</cp:coreProperties>
</file>